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NET1.cec.eu.int\offline\03\galialu\Desktop\pers\D\Subida a idUS archivo de datos paper 2\"/>
    </mc:Choice>
  </mc:AlternateContent>
  <xr:revisionPtr revIDLastSave="0" documentId="13_ncr:1_{F7559A62-C8D7-4B50-9CA2-C42B67E50848}" xr6:coauthVersionLast="47" xr6:coauthVersionMax="47" xr10:uidLastSave="{00000000-0000-0000-0000-000000000000}"/>
  <bookViews>
    <workbookView xWindow="-120" yWindow="-120" windowWidth="20730" windowHeight="11160" tabRatio="840" xr2:uid="{00000000-000D-0000-FFFF-FFFF00000000}"/>
  </bookViews>
  <sheets>
    <sheet name="Parameters" sheetId="2" r:id="rId1"/>
    <sheet name="BAU" sheetId="1" r:id="rId2"/>
    <sheet name="IEA NZE" sheetId="11" r:id="rId3"/>
    <sheet name="High RES" sheetId="12" r:id="rId4"/>
    <sheet name="Low Nuclear" sheetId="13" r:id="rId5"/>
    <sheet name="Energy Efficiency" sheetId="15" r:id="rId6"/>
    <sheet name="Graphs" sheetId="14" r:id="rId7"/>
    <sheet name="LCOE Sensitivity Analysis" sheetId="17" r:id="rId8"/>
  </sheets>
  <definedNames>
    <definedName name="solver_cvg" localSheetId="1" hidden="1">0.0001</definedName>
    <definedName name="solver_drv" localSheetId="1" hidden="1">2</definedName>
    <definedName name="solver_eng" localSheetId="1" hidden="1">1</definedName>
    <definedName name="solver_est" localSheetId="1" hidden="1">1</definedName>
    <definedName name="solver_itr" localSheetId="1" hidden="1">2147483647</definedName>
    <definedName name="solver_lhs1" localSheetId="1" hidden="1">BAU!#REF!</definedName>
    <definedName name="solver_mip" localSheetId="1" hidden="1">2147483647</definedName>
    <definedName name="solver_mni" localSheetId="1" hidden="1">30</definedName>
    <definedName name="solver_mrt" localSheetId="1" hidden="1">0.075</definedName>
    <definedName name="solver_msl" localSheetId="1" hidden="1">2</definedName>
    <definedName name="solver_neg" localSheetId="1" hidden="1">1</definedName>
    <definedName name="solver_nod" localSheetId="1" hidden="1">2147483647</definedName>
    <definedName name="solver_num" localSheetId="1" hidden="1">1</definedName>
    <definedName name="solver_nwt" localSheetId="1" hidden="1">1</definedName>
    <definedName name="solver_opt" localSheetId="1" hidden="1">BAU!#REF!</definedName>
    <definedName name="solver_pre" localSheetId="1" hidden="1">0.000001</definedName>
    <definedName name="solver_rbv" localSheetId="1" hidden="1">2</definedName>
    <definedName name="solver_rel1" localSheetId="1" hidden="1">1</definedName>
    <definedName name="solver_rhs1" localSheetId="1" hidden="1">2</definedName>
    <definedName name="solver_rlx" localSheetId="1" hidden="1">2</definedName>
    <definedName name="solver_rsd" localSheetId="1" hidden="1">0</definedName>
    <definedName name="solver_scl" localSheetId="1" hidden="1">2</definedName>
    <definedName name="solver_sho" localSheetId="1" hidden="1">2</definedName>
    <definedName name="solver_ssz" localSheetId="1" hidden="1">100</definedName>
    <definedName name="solver_tim" localSheetId="1" hidden="1">2147483647</definedName>
    <definedName name="solver_tol" localSheetId="1" hidden="1">0.01</definedName>
    <definedName name="solver_typ" localSheetId="1" hidden="1">1</definedName>
    <definedName name="solver_val" localSheetId="1" hidden="1">0</definedName>
    <definedName name="solver_ver" localSheetId="1" hidden="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14" i="2" l="1"/>
  <c r="D114" i="2"/>
  <c r="M8" i="15"/>
  <c r="M9" i="15"/>
  <c r="M10" i="15"/>
  <c r="M11" i="15"/>
  <c r="M12" i="15"/>
  <c r="M13" i="15"/>
  <c r="M14" i="15"/>
  <c r="M15" i="15"/>
  <c r="M7" i="15"/>
  <c r="M8" i="13"/>
  <c r="M9" i="13"/>
  <c r="M10" i="13"/>
  <c r="M11" i="13"/>
  <c r="M12" i="13"/>
  <c r="M13" i="13"/>
  <c r="M14" i="13"/>
  <c r="M15" i="13"/>
  <c r="M7" i="13"/>
  <c r="M8" i="12"/>
  <c r="M9" i="12"/>
  <c r="M10" i="12"/>
  <c r="M11" i="12"/>
  <c r="M12" i="12"/>
  <c r="M13" i="12"/>
  <c r="M14" i="12"/>
  <c r="M15" i="12"/>
  <c r="M7" i="12"/>
  <c r="M8" i="11"/>
  <c r="M9" i="11"/>
  <c r="M10" i="11"/>
  <c r="M11" i="11"/>
  <c r="M12" i="11"/>
  <c r="M13" i="11"/>
  <c r="M14" i="11"/>
  <c r="M15" i="11"/>
  <c r="M7" i="11"/>
  <c r="M7" i="1"/>
  <c r="L8" i="15"/>
  <c r="L9" i="15"/>
  <c r="L10" i="15"/>
  <c r="L11" i="15"/>
  <c r="L12" i="15"/>
  <c r="L13" i="15"/>
  <c r="L14" i="15"/>
  <c r="L15" i="15"/>
  <c r="L7" i="15"/>
  <c r="L8" i="13"/>
  <c r="L9" i="13"/>
  <c r="L10" i="13"/>
  <c r="L11" i="13"/>
  <c r="L12" i="13"/>
  <c r="L13" i="13"/>
  <c r="L14" i="13"/>
  <c r="L15" i="13"/>
  <c r="L7" i="13"/>
  <c r="L8" i="12"/>
  <c r="L9" i="12"/>
  <c r="L10" i="12"/>
  <c r="L11" i="12"/>
  <c r="L12" i="12"/>
  <c r="L13" i="12"/>
  <c r="L14" i="12"/>
  <c r="L15" i="12"/>
  <c r="L7" i="12"/>
  <c r="L8" i="11"/>
  <c r="L9" i="11"/>
  <c r="L10" i="11"/>
  <c r="L11" i="11"/>
  <c r="L12" i="11"/>
  <c r="L13" i="11"/>
  <c r="L14" i="11"/>
  <c r="L15" i="11"/>
  <c r="L7" i="11"/>
  <c r="L7" i="1"/>
  <c r="M8" i="1"/>
  <c r="M9" i="1"/>
  <c r="M10" i="1"/>
  <c r="M11" i="1"/>
  <c r="M12" i="1"/>
  <c r="M13" i="1"/>
  <c r="M14" i="1"/>
  <c r="M15" i="1"/>
  <c r="L8" i="1"/>
  <c r="L9" i="1"/>
  <c r="L10" i="1"/>
  <c r="L11" i="1"/>
  <c r="L12" i="1"/>
  <c r="L13" i="1"/>
  <c r="L14" i="1"/>
  <c r="L15" i="1"/>
  <c r="E29" i="12"/>
  <c r="E28" i="12"/>
  <c r="E27" i="12"/>
  <c r="E26" i="12"/>
  <c r="E25" i="12"/>
  <c r="E24" i="12"/>
  <c r="E23" i="12"/>
  <c r="E22" i="12"/>
  <c r="E21" i="12"/>
  <c r="D21" i="12"/>
  <c r="D22" i="12"/>
  <c r="D23" i="12"/>
  <c r="D24" i="12"/>
  <c r="D25" i="12"/>
  <c r="D26" i="12"/>
  <c r="D27" i="12"/>
  <c r="D28" i="12"/>
  <c r="D29" i="12"/>
  <c r="C22" i="12"/>
  <c r="C23" i="12"/>
  <c r="C24" i="12"/>
  <c r="C25" i="12"/>
  <c r="C26" i="12"/>
  <c r="C27" i="12"/>
  <c r="C28" i="12"/>
  <c r="C29" i="12"/>
  <c r="C21" i="12"/>
  <c r="P54" i="2"/>
  <c r="M54" i="2"/>
  <c r="B22" i="12"/>
  <c r="B23" i="12"/>
  <c r="B24" i="12"/>
  <c r="B25" i="12"/>
  <c r="B26" i="12"/>
  <c r="B27" i="12"/>
  <c r="B28" i="12"/>
  <c r="B29" i="12"/>
  <c r="B21" i="12"/>
  <c r="C26" i="2"/>
  <c r="D115" i="2"/>
  <c r="L88" i="17"/>
  <c r="D45" i="17"/>
  <c r="B45" i="17"/>
  <c r="B46" i="17" s="1"/>
  <c r="E45" i="17"/>
  <c r="F45" i="17"/>
  <c r="G45" i="17"/>
  <c r="T45" i="17"/>
  <c r="X45" i="17"/>
  <c r="Y45" i="17" s="1"/>
  <c r="Z45" i="17" s="1"/>
  <c r="AE45" i="17"/>
  <c r="AE46" i="17"/>
  <c r="AE47" i="17"/>
  <c r="AE48" i="17"/>
  <c r="AE49" i="17"/>
  <c r="AE50" i="17"/>
  <c r="AE51" i="17"/>
  <c r="AE52" i="17"/>
  <c r="AE53" i="17"/>
  <c r="D27" i="17"/>
  <c r="L89" i="17"/>
  <c r="L85" i="17"/>
  <c r="L84" i="17" s="1"/>
  <c r="L83" i="17" s="1"/>
  <c r="L82" i="17" s="1"/>
  <c r="L81" i="17" s="1"/>
  <c r="L86" i="17"/>
  <c r="L71" i="17"/>
  <c r="L70" i="17"/>
  <c r="L67" i="17"/>
  <c r="L66" i="17" s="1"/>
  <c r="L65" i="17" s="1"/>
  <c r="L64" i="17" s="1"/>
  <c r="L63" i="17" s="1"/>
  <c r="L68" i="17"/>
  <c r="M89" i="17"/>
  <c r="M88" i="17"/>
  <c r="M86" i="17"/>
  <c r="M85" i="17" s="1"/>
  <c r="M84" i="17" s="1"/>
  <c r="M83" i="17" s="1"/>
  <c r="M82" i="17" s="1"/>
  <c r="M81" i="17" s="1"/>
  <c r="M71" i="17"/>
  <c r="M70" i="17"/>
  <c r="M67" i="17"/>
  <c r="M66" i="17" s="1"/>
  <c r="M65" i="17" s="1"/>
  <c r="M64" i="17" s="1"/>
  <c r="M63" i="17" s="1"/>
  <c r="M68" i="17"/>
  <c r="AE107" i="17"/>
  <c r="AE106" i="17"/>
  <c r="AE105" i="17"/>
  <c r="AE104" i="17"/>
  <c r="AE103" i="17"/>
  <c r="AE102" i="17"/>
  <c r="AE101" i="17"/>
  <c r="AE100" i="17"/>
  <c r="AE99" i="17"/>
  <c r="X99" i="17"/>
  <c r="Y99" i="17" s="1"/>
  <c r="Z99" i="17" s="1"/>
  <c r="T99" i="17"/>
  <c r="G99" i="17"/>
  <c r="F99" i="17"/>
  <c r="E99" i="17"/>
  <c r="D99" i="17"/>
  <c r="B99" i="17"/>
  <c r="B100" i="17" s="1"/>
  <c r="B101" i="17" s="1"/>
  <c r="B102" i="17" s="1"/>
  <c r="B103" i="17" s="1"/>
  <c r="B104" i="17" s="1"/>
  <c r="B105" i="17" s="1"/>
  <c r="B106" i="17" s="1"/>
  <c r="B107" i="17" s="1"/>
  <c r="AE89" i="17"/>
  <c r="AE88" i="17"/>
  <c r="AE87" i="17"/>
  <c r="AE86" i="17"/>
  <c r="AE85" i="17"/>
  <c r="AE84" i="17"/>
  <c r="AE83" i="17"/>
  <c r="AE82" i="17"/>
  <c r="AE81" i="17"/>
  <c r="X81" i="17"/>
  <c r="Y81" i="17" s="1"/>
  <c r="Z81" i="17" s="1"/>
  <c r="T81" i="17"/>
  <c r="G81" i="17"/>
  <c r="F81" i="17"/>
  <c r="E81" i="17"/>
  <c r="D81" i="17"/>
  <c r="B81" i="17"/>
  <c r="B82" i="17" s="1"/>
  <c r="B83" i="17" s="1"/>
  <c r="B84" i="17" s="1"/>
  <c r="B85" i="17" s="1"/>
  <c r="B86" i="17" s="1"/>
  <c r="B87" i="17" s="1"/>
  <c r="B88" i="17" s="1"/>
  <c r="B89" i="17" s="1"/>
  <c r="AE71" i="17"/>
  <c r="AE70" i="17"/>
  <c r="AE69" i="17"/>
  <c r="AE68" i="17"/>
  <c r="AE67" i="17"/>
  <c r="AE66" i="17"/>
  <c r="AE65" i="17"/>
  <c r="AE64" i="17"/>
  <c r="AE63" i="17"/>
  <c r="X63" i="17"/>
  <c r="Y63" i="17" s="1"/>
  <c r="Z63" i="17" s="1"/>
  <c r="T63" i="17"/>
  <c r="G63" i="17"/>
  <c r="F63" i="17"/>
  <c r="E63" i="17"/>
  <c r="D63" i="17"/>
  <c r="B63" i="17"/>
  <c r="B64" i="17" s="1"/>
  <c r="B65" i="17" s="1"/>
  <c r="B66" i="17" s="1"/>
  <c r="B67" i="17" s="1"/>
  <c r="B68" i="17" s="1"/>
  <c r="B69" i="17" s="1"/>
  <c r="B70" i="17" s="1"/>
  <c r="B71" i="17" s="1"/>
  <c r="AE35" i="17"/>
  <c r="AE34" i="17"/>
  <c r="AE33" i="17"/>
  <c r="AE32" i="17"/>
  <c r="AE31" i="17"/>
  <c r="AE30" i="17"/>
  <c r="AE29" i="17"/>
  <c r="AE28" i="17"/>
  <c r="AE27" i="17"/>
  <c r="X27" i="17"/>
  <c r="Y27" i="17" s="1"/>
  <c r="Z27" i="17" s="1"/>
  <c r="T27" i="17"/>
  <c r="G27" i="17"/>
  <c r="F27" i="17"/>
  <c r="E27" i="17"/>
  <c r="B27" i="17"/>
  <c r="B28" i="17" s="1"/>
  <c r="B29" i="17" s="1"/>
  <c r="B30" i="17" s="1"/>
  <c r="B31" i="17" s="1"/>
  <c r="B32" i="17" s="1"/>
  <c r="B33" i="17" s="1"/>
  <c r="B34" i="17" s="1"/>
  <c r="B35" i="17" s="1"/>
  <c r="AE17" i="17"/>
  <c r="M17" i="17"/>
  <c r="AE16" i="17"/>
  <c r="M16" i="17"/>
  <c r="AE15" i="17"/>
  <c r="M15" i="17"/>
  <c r="AE14" i="17"/>
  <c r="M14" i="17"/>
  <c r="AE13" i="17"/>
  <c r="M13" i="17"/>
  <c r="AE12" i="17"/>
  <c r="M12" i="17"/>
  <c r="AE11" i="17"/>
  <c r="M11" i="17"/>
  <c r="AE10" i="17"/>
  <c r="M10" i="17"/>
  <c r="AE9" i="17"/>
  <c r="X9" i="17"/>
  <c r="Y9" i="17" s="1"/>
  <c r="Z9" i="17" s="1"/>
  <c r="T9" i="17"/>
  <c r="M9" i="17"/>
  <c r="G9" i="17"/>
  <c r="F9" i="17"/>
  <c r="E9" i="17"/>
  <c r="D9" i="17"/>
  <c r="B9" i="17"/>
  <c r="B10" i="17" s="1"/>
  <c r="B11" i="17" s="1"/>
  <c r="B12" i="17" s="1"/>
  <c r="B13" i="17" s="1"/>
  <c r="B14" i="17" s="1"/>
  <c r="B15" i="17" s="1"/>
  <c r="B16" i="17" s="1"/>
  <c r="B17" i="17" s="1"/>
  <c r="B115" i="2"/>
  <c r="B113" i="2"/>
  <c r="C118" i="2"/>
  <c r="C115" i="2"/>
  <c r="C113" i="2"/>
  <c r="D118" i="2"/>
  <c r="D117" i="2"/>
  <c r="D113" i="2"/>
  <c r="L47" i="17" s="1"/>
  <c r="G7" i="15"/>
  <c r="G7" i="13"/>
  <c r="G7" i="12"/>
  <c r="G7" i="11"/>
  <c r="G7" i="1"/>
  <c r="L46" i="17" l="1"/>
  <c r="L48" i="17"/>
  <c r="L29" i="17"/>
  <c r="M101" i="17"/>
  <c r="D116" i="2"/>
  <c r="M47" i="17" s="1"/>
  <c r="M29" i="17"/>
  <c r="L101" i="17"/>
  <c r="AA45" i="17"/>
  <c r="L45" i="17"/>
  <c r="B47" i="17"/>
  <c r="B48" i="17" s="1"/>
  <c r="B49" i="17" s="1"/>
  <c r="B50" i="17" s="1"/>
  <c r="B51" i="17" s="1"/>
  <c r="B52" i="17" s="1"/>
  <c r="B53" i="17" s="1"/>
  <c r="AA27" i="17"/>
  <c r="AA81" i="17"/>
  <c r="AA99" i="17"/>
  <c r="AA63" i="17"/>
  <c r="AA9" i="17"/>
  <c r="Y7" i="11"/>
  <c r="AF9" i="15"/>
  <c r="AC7" i="1"/>
  <c r="AD7" i="1"/>
  <c r="F7" i="1"/>
  <c r="M46" i="17" l="1"/>
  <c r="M48" i="17"/>
  <c r="L28" i="17"/>
  <c r="L30" i="17"/>
  <c r="M28" i="17"/>
  <c r="M27" i="17" s="1"/>
  <c r="M30" i="17"/>
  <c r="M31" i="17" s="1"/>
  <c r="M32" i="17" s="1"/>
  <c r="M33" i="17" s="1"/>
  <c r="M34" i="17" s="1"/>
  <c r="M35" i="17" s="1"/>
  <c r="M102" i="17"/>
  <c r="M103" i="17" s="1"/>
  <c r="M104" i="17" s="1"/>
  <c r="M105" i="17" s="1"/>
  <c r="M106" i="17" s="1"/>
  <c r="M107" i="17" s="1"/>
  <c r="M100" i="17"/>
  <c r="M99" i="17" s="1"/>
  <c r="L100" i="17"/>
  <c r="L102" i="17"/>
  <c r="L49" i="17"/>
  <c r="AA7" i="1"/>
  <c r="K108" i="2"/>
  <c r="O108" i="2" s="1"/>
  <c r="K107" i="2"/>
  <c r="O107" i="2" s="1"/>
  <c r="K104" i="2"/>
  <c r="O104" i="2" s="1"/>
  <c r="K103" i="2"/>
  <c r="O103" i="2" s="1"/>
  <c r="K100" i="2"/>
  <c r="O100" i="2" s="1"/>
  <c r="H47" i="2"/>
  <c r="J108" i="2"/>
  <c r="N108" i="2" s="1"/>
  <c r="J15" i="1" s="1"/>
  <c r="I108" i="2"/>
  <c r="M108" i="2" s="1"/>
  <c r="I15" i="1" s="1"/>
  <c r="H108" i="2"/>
  <c r="L108" i="2" s="1"/>
  <c r="J107" i="2"/>
  <c r="N107" i="2" s="1"/>
  <c r="J14" i="1" s="1"/>
  <c r="I107" i="2"/>
  <c r="M107" i="2" s="1"/>
  <c r="I14" i="1" s="1"/>
  <c r="H107" i="2"/>
  <c r="L107" i="2" s="1"/>
  <c r="K106" i="2"/>
  <c r="O106" i="2" s="1"/>
  <c r="J106" i="2"/>
  <c r="N106" i="2" s="1"/>
  <c r="J13" i="1" s="1"/>
  <c r="I106" i="2"/>
  <c r="M106" i="2" s="1"/>
  <c r="I13" i="1" s="1"/>
  <c r="H106" i="2"/>
  <c r="L106" i="2" s="1"/>
  <c r="K105" i="2"/>
  <c r="O105" i="2" s="1"/>
  <c r="J105" i="2"/>
  <c r="N105" i="2" s="1"/>
  <c r="J12" i="1" s="1"/>
  <c r="I105" i="2"/>
  <c r="M105" i="2" s="1"/>
  <c r="I12" i="1" s="1"/>
  <c r="H105" i="2"/>
  <c r="L105" i="2" s="1"/>
  <c r="J104" i="2"/>
  <c r="N104" i="2" s="1"/>
  <c r="J11" i="1" s="1"/>
  <c r="I104" i="2"/>
  <c r="M104" i="2" s="1"/>
  <c r="I11" i="1" s="1"/>
  <c r="H104" i="2"/>
  <c r="L104" i="2" s="1"/>
  <c r="J103" i="2"/>
  <c r="N103" i="2" s="1"/>
  <c r="J10" i="1" s="1"/>
  <c r="I103" i="2"/>
  <c r="M103" i="2" s="1"/>
  <c r="I10" i="1" s="1"/>
  <c r="H103" i="2"/>
  <c r="L103" i="2" s="1"/>
  <c r="K102" i="2"/>
  <c r="O102" i="2" s="1"/>
  <c r="J102" i="2"/>
  <c r="N102" i="2" s="1"/>
  <c r="J9" i="1" s="1"/>
  <c r="I102" i="2"/>
  <c r="M102" i="2" s="1"/>
  <c r="I9" i="1" s="1"/>
  <c r="H102" i="2"/>
  <c r="L102" i="2" s="1"/>
  <c r="K101" i="2"/>
  <c r="O101" i="2" s="1"/>
  <c r="J101" i="2"/>
  <c r="N101" i="2" s="1"/>
  <c r="J8" i="1" s="1"/>
  <c r="I101" i="2"/>
  <c r="M101" i="2" s="1"/>
  <c r="I8" i="1" s="1"/>
  <c r="H101" i="2"/>
  <c r="L101" i="2" s="1"/>
  <c r="J100" i="2"/>
  <c r="N100" i="2" s="1"/>
  <c r="I100" i="2"/>
  <c r="M100" i="2" s="1"/>
  <c r="H100" i="2"/>
  <c r="L100" i="2" s="1"/>
  <c r="M49" i="17" l="1"/>
  <c r="M45" i="17"/>
  <c r="L50" i="17"/>
  <c r="L99" i="17"/>
  <c r="L27" i="17"/>
  <c r="L31" i="17"/>
  <c r="L103" i="17"/>
  <c r="J7" i="1"/>
  <c r="O7" i="1"/>
  <c r="R7" i="1" s="1"/>
  <c r="S7" i="1" s="1"/>
  <c r="I7" i="1"/>
  <c r="H8" i="1"/>
  <c r="P101" i="2"/>
  <c r="P8" i="1" s="1"/>
  <c r="H15" i="1"/>
  <c r="P108" i="2"/>
  <c r="P15" i="1" s="1"/>
  <c r="H11" i="1"/>
  <c r="P104" i="2"/>
  <c r="P11" i="1" s="1"/>
  <c r="H9" i="1"/>
  <c r="N9" i="1" s="1"/>
  <c r="P102" i="2"/>
  <c r="P9" i="1" s="1"/>
  <c r="H7" i="1"/>
  <c r="P100" i="2"/>
  <c r="H12" i="1"/>
  <c r="P105" i="2"/>
  <c r="P12" i="1" s="1"/>
  <c r="H14" i="1"/>
  <c r="P107" i="2"/>
  <c r="P14" i="1" s="1"/>
  <c r="H10" i="1"/>
  <c r="P103" i="2"/>
  <c r="P10" i="1" s="1"/>
  <c r="H13" i="1"/>
  <c r="P106" i="2"/>
  <c r="P13" i="1" s="1"/>
  <c r="K13" i="1"/>
  <c r="O13" i="1"/>
  <c r="R13" i="1" s="1"/>
  <c r="S13" i="1" s="1"/>
  <c r="K10" i="1"/>
  <c r="O10" i="1"/>
  <c r="R10" i="1" s="1"/>
  <c r="S10" i="1" s="1"/>
  <c r="K11" i="1"/>
  <c r="O11" i="1"/>
  <c r="R11" i="1" s="1"/>
  <c r="S11" i="1" s="1"/>
  <c r="K14" i="1"/>
  <c r="O14" i="1"/>
  <c r="R14" i="1" s="1"/>
  <c r="S14" i="1" s="1"/>
  <c r="K8" i="1"/>
  <c r="O8" i="1"/>
  <c r="R8" i="1" s="1"/>
  <c r="S8" i="1" s="1"/>
  <c r="K9" i="1"/>
  <c r="O9" i="1"/>
  <c r="R9" i="1" s="1"/>
  <c r="S9" i="1" s="1"/>
  <c r="K12" i="1"/>
  <c r="O12" i="1"/>
  <c r="R12" i="1" s="1"/>
  <c r="S12" i="1" s="1"/>
  <c r="K15" i="1"/>
  <c r="O15" i="1"/>
  <c r="R15" i="1" s="1"/>
  <c r="S15" i="1" s="1"/>
  <c r="K7" i="1"/>
  <c r="H86" i="2"/>
  <c r="L86" i="2" s="1"/>
  <c r="H72" i="2"/>
  <c r="L72" i="2" s="1"/>
  <c r="H69" i="2"/>
  <c r="K54" i="2"/>
  <c r="O54" i="2" s="1"/>
  <c r="J54" i="2"/>
  <c r="N54" i="2" s="1"/>
  <c r="I54" i="2"/>
  <c r="H54" i="2"/>
  <c r="L54" i="2" s="1"/>
  <c r="J92" i="2"/>
  <c r="N92" i="2" s="1"/>
  <c r="I92" i="2"/>
  <c r="M92" i="2" s="1"/>
  <c r="H92" i="2"/>
  <c r="J91" i="2"/>
  <c r="N91" i="2" s="1"/>
  <c r="J14" i="15" s="1"/>
  <c r="I91" i="2"/>
  <c r="M91" i="2" s="1"/>
  <c r="I14" i="15" s="1"/>
  <c r="H91" i="2"/>
  <c r="L91" i="2" s="1"/>
  <c r="P14" i="15" s="1"/>
  <c r="J90" i="2"/>
  <c r="N90" i="2" s="1"/>
  <c r="J13" i="15" s="1"/>
  <c r="I90" i="2"/>
  <c r="M90" i="2" s="1"/>
  <c r="I13" i="15" s="1"/>
  <c r="H90" i="2"/>
  <c r="L90" i="2" s="1"/>
  <c r="J89" i="2"/>
  <c r="N89" i="2" s="1"/>
  <c r="J12" i="15" s="1"/>
  <c r="I89" i="2"/>
  <c r="M89" i="2" s="1"/>
  <c r="I12" i="15" s="1"/>
  <c r="H89" i="2"/>
  <c r="L89" i="2" s="1"/>
  <c r="J88" i="2"/>
  <c r="N88" i="2" s="1"/>
  <c r="J11" i="15" s="1"/>
  <c r="I88" i="2"/>
  <c r="M88" i="2" s="1"/>
  <c r="I11" i="15" s="1"/>
  <c r="H88" i="2"/>
  <c r="L88" i="2" s="1"/>
  <c r="J87" i="2"/>
  <c r="N87" i="2" s="1"/>
  <c r="J10" i="15" s="1"/>
  <c r="I87" i="2"/>
  <c r="M87" i="2" s="1"/>
  <c r="I10" i="15" s="1"/>
  <c r="H87" i="2"/>
  <c r="L87" i="2" s="1"/>
  <c r="J86" i="2"/>
  <c r="N86" i="2" s="1"/>
  <c r="J9" i="15" s="1"/>
  <c r="I86" i="2"/>
  <c r="M86" i="2" s="1"/>
  <c r="I9" i="15" s="1"/>
  <c r="J85" i="2"/>
  <c r="N85" i="2" s="1"/>
  <c r="J8" i="15" s="1"/>
  <c r="I85" i="2"/>
  <c r="M85" i="2" s="1"/>
  <c r="I8" i="15" s="1"/>
  <c r="H85" i="2"/>
  <c r="L85" i="2" s="1"/>
  <c r="J84" i="2"/>
  <c r="N84" i="2" s="1"/>
  <c r="J7" i="15" s="1"/>
  <c r="I84" i="2"/>
  <c r="M84" i="2" s="1"/>
  <c r="I7" i="15" s="1"/>
  <c r="H84" i="2"/>
  <c r="L84" i="2" s="1"/>
  <c r="J77" i="2"/>
  <c r="N77" i="2" s="1"/>
  <c r="I77" i="2"/>
  <c r="M77" i="2" s="1"/>
  <c r="H77" i="2"/>
  <c r="L77" i="2" s="1"/>
  <c r="J76" i="2"/>
  <c r="N76" i="2" s="1"/>
  <c r="I76" i="2"/>
  <c r="M76" i="2" s="1"/>
  <c r="H76" i="2"/>
  <c r="L76" i="2" s="1"/>
  <c r="P14" i="13" s="1"/>
  <c r="J75" i="2"/>
  <c r="N75" i="2" s="1"/>
  <c r="I75" i="2"/>
  <c r="M75" i="2" s="1"/>
  <c r="H75" i="2"/>
  <c r="L75" i="2" s="1"/>
  <c r="J74" i="2"/>
  <c r="N74" i="2" s="1"/>
  <c r="I74" i="2"/>
  <c r="M74" i="2" s="1"/>
  <c r="H74" i="2"/>
  <c r="L74" i="2" s="1"/>
  <c r="J73" i="2"/>
  <c r="N73" i="2" s="1"/>
  <c r="I73" i="2"/>
  <c r="M73" i="2" s="1"/>
  <c r="H73" i="2"/>
  <c r="L73" i="2" s="1"/>
  <c r="J72" i="2"/>
  <c r="N72" i="2" s="1"/>
  <c r="J10" i="13" s="1"/>
  <c r="I72" i="2"/>
  <c r="M72" i="2" s="1"/>
  <c r="I10" i="13" s="1"/>
  <c r="J71" i="2"/>
  <c r="N71" i="2" s="1"/>
  <c r="J9" i="13" s="1"/>
  <c r="I71" i="2"/>
  <c r="M71" i="2" s="1"/>
  <c r="I9" i="13" s="1"/>
  <c r="H71" i="2"/>
  <c r="L71" i="2" s="1"/>
  <c r="P9" i="13" s="1"/>
  <c r="J70" i="2"/>
  <c r="N70" i="2" s="1"/>
  <c r="J8" i="13" s="1"/>
  <c r="I70" i="2"/>
  <c r="M70" i="2" s="1"/>
  <c r="I8" i="13" s="1"/>
  <c r="H70" i="2"/>
  <c r="L70" i="2" s="1"/>
  <c r="J69" i="2"/>
  <c r="N69" i="2" s="1"/>
  <c r="J7" i="13" s="1"/>
  <c r="I69" i="2"/>
  <c r="M69" i="2" s="1"/>
  <c r="I7" i="13" s="1"/>
  <c r="J62" i="2"/>
  <c r="N62" i="2" s="1"/>
  <c r="I62" i="2"/>
  <c r="M62" i="2" s="1"/>
  <c r="H62" i="2"/>
  <c r="L62" i="2" s="1"/>
  <c r="J61" i="2"/>
  <c r="N61" i="2" s="1"/>
  <c r="I61" i="2"/>
  <c r="M61" i="2" s="1"/>
  <c r="H61" i="2"/>
  <c r="L61" i="2" s="1"/>
  <c r="J60" i="2"/>
  <c r="N60" i="2" s="1"/>
  <c r="I60" i="2"/>
  <c r="M60" i="2" s="1"/>
  <c r="H60" i="2"/>
  <c r="L60" i="2" s="1"/>
  <c r="J59" i="2"/>
  <c r="N59" i="2" s="1"/>
  <c r="I59" i="2"/>
  <c r="M59" i="2" s="1"/>
  <c r="H59" i="2"/>
  <c r="L59" i="2" s="1"/>
  <c r="J58" i="2"/>
  <c r="N58" i="2" s="1"/>
  <c r="I58" i="2"/>
  <c r="M58" i="2" s="1"/>
  <c r="H58" i="2"/>
  <c r="L58" i="2" s="1"/>
  <c r="J57" i="2"/>
  <c r="N57" i="2" s="1"/>
  <c r="I57" i="2"/>
  <c r="M57" i="2" s="1"/>
  <c r="H57" i="2"/>
  <c r="L57" i="2" s="1"/>
  <c r="J56" i="2"/>
  <c r="N56" i="2" s="1"/>
  <c r="I56" i="2"/>
  <c r="M56" i="2" s="1"/>
  <c r="H56" i="2"/>
  <c r="L56" i="2" s="1"/>
  <c r="J55" i="2"/>
  <c r="N55" i="2" s="1"/>
  <c r="I55" i="2"/>
  <c r="M55" i="2" s="1"/>
  <c r="H55" i="2"/>
  <c r="L55" i="2" s="1"/>
  <c r="AF15" i="15"/>
  <c r="AF14" i="15"/>
  <c r="AF13" i="15"/>
  <c r="AF12" i="15"/>
  <c r="AF11" i="15"/>
  <c r="AF10" i="15"/>
  <c r="AF8" i="15"/>
  <c r="AF7" i="15"/>
  <c r="Y7" i="15"/>
  <c r="U7" i="15"/>
  <c r="F7" i="15"/>
  <c r="E7" i="15"/>
  <c r="D7" i="15"/>
  <c r="B7" i="15"/>
  <c r="B8" i="15" s="1"/>
  <c r="B9" i="15" s="1"/>
  <c r="B10" i="15" s="1"/>
  <c r="B11" i="15" s="1"/>
  <c r="B12" i="15" s="1"/>
  <c r="B13" i="15" s="1"/>
  <c r="B14" i="15" s="1"/>
  <c r="B15" i="15" s="1"/>
  <c r="AF15" i="13"/>
  <c r="AF14" i="13"/>
  <c r="AF13" i="13"/>
  <c r="AF12" i="13"/>
  <c r="AF11" i="13"/>
  <c r="AF10" i="13"/>
  <c r="AF9" i="13"/>
  <c r="AF8" i="13"/>
  <c r="AF7" i="13"/>
  <c r="Y7" i="13"/>
  <c r="Z7" i="13" s="1"/>
  <c r="AA7" i="13" s="1"/>
  <c r="U7" i="13"/>
  <c r="F7" i="13"/>
  <c r="E7" i="13"/>
  <c r="D7" i="13"/>
  <c r="B7" i="13"/>
  <c r="B8" i="13" s="1"/>
  <c r="B9" i="13" s="1"/>
  <c r="B10" i="13" s="1"/>
  <c r="B11" i="13" s="1"/>
  <c r="B12" i="13" s="1"/>
  <c r="B13" i="13" s="1"/>
  <c r="B14" i="13" s="1"/>
  <c r="B15" i="13" s="1"/>
  <c r="AF15" i="12"/>
  <c r="AF14" i="12"/>
  <c r="AF13" i="12"/>
  <c r="AF12" i="12"/>
  <c r="AF11" i="12"/>
  <c r="AF10" i="12"/>
  <c r="AF9" i="12"/>
  <c r="AF8" i="12"/>
  <c r="AF7" i="12"/>
  <c r="Y7" i="12"/>
  <c r="U7" i="12"/>
  <c r="F7" i="12"/>
  <c r="E7" i="12"/>
  <c r="D7" i="12"/>
  <c r="B7" i="12"/>
  <c r="B8" i="12" s="1"/>
  <c r="D7" i="11"/>
  <c r="D7" i="1"/>
  <c r="U7" i="11"/>
  <c r="H39" i="2"/>
  <c r="L39" i="2" s="1"/>
  <c r="I45" i="2"/>
  <c r="M45" i="2" s="1"/>
  <c r="I13" i="11" s="1"/>
  <c r="I44" i="2"/>
  <c r="M44" i="2" s="1"/>
  <c r="I12" i="11" s="1"/>
  <c r="L47" i="2"/>
  <c r="I47" i="2"/>
  <c r="M47" i="2" s="1"/>
  <c r="I15" i="11" s="1"/>
  <c r="J47" i="2"/>
  <c r="N47" i="2" s="1"/>
  <c r="J15" i="11" s="1"/>
  <c r="K47" i="2"/>
  <c r="O47" i="2" s="1"/>
  <c r="I40" i="2"/>
  <c r="M40" i="2" s="1"/>
  <c r="I8" i="11" s="1"/>
  <c r="J40" i="2"/>
  <c r="N40" i="2" s="1"/>
  <c r="J8" i="11" s="1"/>
  <c r="K40" i="2"/>
  <c r="O40" i="2" s="1"/>
  <c r="I41" i="2"/>
  <c r="M41" i="2" s="1"/>
  <c r="I9" i="11" s="1"/>
  <c r="J41" i="2"/>
  <c r="N41" i="2" s="1"/>
  <c r="J9" i="11" s="1"/>
  <c r="K41" i="2"/>
  <c r="O41" i="2" s="1"/>
  <c r="I42" i="2"/>
  <c r="M42" i="2" s="1"/>
  <c r="I10" i="11" s="1"/>
  <c r="J42" i="2"/>
  <c r="N42" i="2" s="1"/>
  <c r="J10" i="11" s="1"/>
  <c r="K42" i="2"/>
  <c r="O42" i="2" s="1"/>
  <c r="I43" i="2"/>
  <c r="M43" i="2" s="1"/>
  <c r="I11" i="11" s="1"/>
  <c r="J43" i="2"/>
  <c r="N43" i="2" s="1"/>
  <c r="J11" i="11" s="1"/>
  <c r="K43" i="2"/>
  <c r="O43" i="2" s="1"/>
  <c r="J44" i="2"/>
  <c r="N44" i="2" s="1"/>
  <c r="J12" i="11" s="1"/>
  <c r="K44" i="2"/>
  <c r="O44" i="2" s="1"/>
  <c r="J45" i="2"/>
  <c r="N45" i="2" s="1"/>
  <c r="J13" i="11" s="1"/>
  <c r="K45" i="2"/>
  <c r="O45" i="2" s="1"/>
  <c r="I46" i="2"/>
  <c r="M46" i="2" s="1"/>
  <c r="I14" i="11" s="1"/>
  <c r="J46" i="2"/>
  <c r="N46" i="2" s="1"/>
  <c r="J14" i="11" s="1"/>
  <c r="K46" i="2"/>
  <c r="O46" i="2" s="1"/>
  <c r="J39" i="2"/>
  <c r="N39" i="2" s="1"/>
  <c r="J7" i="11" s="1"/>
  <c r="K39" i="2"/>
  <c r="O39" i="2" s="1"/>
  <c r="H40" i="2"/>
  <c r="L40" i="2" s="1"/>
  <c r="P8" i="11" s="1"/>
  <c r="H41" i="2"/>
  <c r="L41" i="2" s="1"/>
  <c r="H42" i="2"/>
  <c r="L42" i="2" s="1"/>
  <c r="H43" i="2"/>
  <c r="L43" i="2" s="1"/>
  <c r="H44" i="2"/>
  <c r="L44" i="2" s="1"/>
  <c r="H45" i="2"/>
  <c r="L45" i="2" s="1"/>
  <c r="P13" i="11" s="1"/>
  <c r="H46" i="2"/>
  <c r="L46" i="2" s="1"/>
  <c r="P14" i="11" s="1"/>
  <c r="I39" i="2"/>
  <c r="M39" i="2" s="1"/>
  <c r="I7" i="11" s="1"/>
  <c r="C10" i="2"/>
  <c r="C5" i="2"/>
  <c r="C45" i="17" s="1"/>
  <c r="C46" i="17" s="1"/>
  <c r="C47" i="17" s="1"/>
  <c r="C48" i="17" s="1"/>
  <c r="Z7" i="11"/>
  <c r="AA7" i="11" s="1"/>
  <c r="T7" i="1"/>
  <c r="AF15" i="11"/>
  <c r="AF14" i="11"/>
  <c r="AF13" i="11"/>
  <c r="AF12" i="11"/>
  <c r="AF11" i="11"/>
  <c r="AF10" i="11"/>
  <c r="AF9" i="11"/>
  <c r="AF8" i="11"/>
  <c r="AF7" i="11"/>
  <c r="F7" i="11"/>
  <c r="E7" i="11"/>
  <c r="B7" i="11"/>
  <c r="B8" i="11" s="1"/>
  <c r="B9" i="11" s="1"/>
  <c r="B10" i="11" s="1"/>
  <c r="B11" i="11" s="1"/>
  <c r="B12" i="11" s="1"/>
  <c r="B13" i="11" s="1"/>
  <c r="B14" i="11" s="1"/>
  <c r="B15" i="11" s="1"/>
  <c r="AA8" i="1"/>
  <c r="E7" i="1"/>
  <c r="AA9" i="1"/>
  <c r="AA10" i="1"/>
  <c r="AA11" i="1"/>
  <c r="AA12" i="1"/>
  <c r="AA13" i="1"/>
  <c r="AA14" i="1"/>
  <c r="AA15" i="1"/>
  <c r="B7" i="1"/>
  <c r="B8" i="1" s="1"/>
  <c r="B9" i="1" s="1"/>
  <c r="O27" i="17" l="1"/>
  <c r="P9" i="11"/>
  <c r="P7" i="15"/>
  <c r="P10" i="15"/>
  <c r="P8" i="15"/>
  <c r="P11" i="15"/>
  <c r="O30" i="17"/>
  <c r="P12" i="15"/>
  <c r="P13" i="13"/>
  <c r="M50" i="17"/>
  <c r="L32" i="17"/>
  <c r="O31" i="17"/>
  <c r="H10" i="17"/>
  <c r="O64" i="17"/>
  <c r="O10" i="17"/>
  <c r="P8" i="12"/>
  <c r="F22" i="12" s="1"/>
  <c r="O82" i="17"/>
  <c r="O46" i="17"/>
  <c r="P15" i="11"/>
  <c r="H13" i="17"/>
  <c r="O85" i="17"/>
  <c r="O67" i="17"/>
  <c r="P11" i="12"/>
  <c r="F25" i="12" s="1"/>
  <c r="O13" i="17"/>
  <c r="H16" i="17"/>
  <c r="O16" i="17"/>
  <c r="P14" i="12"/>
  <c r="F28" i="12" s="1"/>
  <c r="O88" i="17"/>
  <c r="O70" i="17"/>
  <c r="P8" i="13"/>
  <c r="P11" i="13"/>
  <c r="P13" i="15"/>
  <c r="O28" i="17"/>
  <c r="P9" i="15"/>
  <c r="H11" i="17"/>
  <c r="O83" i="17"/>
  <c r="O65" i="17"/>
  <c r="O11" i="17"/>
  <c r="P9" i="12"/>
  <c r="F23" i="12" s="1"/>
  <c r="O47" i="17"/>
  <c r="O29" i="17"/>
  <c r="O101" i="17"/>
  <c r="P7" i="12"/>
  <c r="F21" i="12" s="1"/>
  <c r="O9" i="17"/>
  <c r="O81" i="17"/>
  <c r="H9" i="17"/>
  <c r="O63" i="17"/>
  <c r="O45" i="17"/>
  <c r="O100" i="17"/>
  <c r="H15" i="17"/>
  <c r="P13" i="12"/>
  <c r="F27" i="12" s="1"/>
  <c r="O87" i="17"/>
  <c r="O15" i="17"/>
  <c r="O69" i="17"/>
  <c r="H14" i="17"/>
  <c r="P12" i="12"/>
  <c r="F26" i="12" s="1"/>
  <c r="O86" i="17"/>
  <c r="O68" i="17"/>
  <c r="O14" i="17"/>
  <c r="O99" i="17"/>
  <c r="P10" i="13"/>
  <c r="P12" i="11"/>
  <c r="P7" i="11"/>
  <c r="P11" i="11"/>
  <c r="H17" i="17"/>
  <c r="O17" i="17"/>
  <c r="P15" i="12"/>
  <c r="F29" i="12" s="1"/>
  <c r="O71" i="17"/>
  <c r="O89" i="17"/>
  <c r="P12" i="13"/>
  <c r="O103" i="17"/>
  <c r="L104" i="17"/>
  <c r="O50" i="17"/>
  <c r="L51" i="17"/>
  <c r="P10" i="11"/>
  <c r="H12" i="17"/>
  <c r="O84" i="17"/>
  <c r="O66" i="17"/>
  <c r="O12" i="17"/>
  <c r="P10" i="12"/>
  <c r="F24" i="12" s="1"/>
  <c r="O48" i="17"/>
  <c r="P15" i="13"/>
  <c r="Q81" i="17"/>
  <c r="V81" i="17" s="1"/>
  <c r="Q63" i="17"/>
  <c r="V63" i="17" s="1"/>
  <c r="Q9" i="17"/>
  <c r="V27" i="17" s="1"/>
  <c r="Q45" i="17"/>
  <c r="V45" i="17" s="1"/>
  <c r="Q27" i="17"/>
  <c r="Q99" i="17"/>
  <c r="V99" i="17" s="1"/>
  <c r="O102" i="17"/>
  <c r="O49" i="17"/>
  <c r="C49" i="17"/>
  <c r="I10" i="12"/>
  <c r="I12" i="17"/>
  <c r="J15" i="12"/>
  <c r="J17" i="17"/>
  <c r="J12" i="13"/>
  <c r="I15" i="13"/>
  <c r="I8" i="12"/>
  <c r="I10" i="17"/>
  <c r="J13" i="12"/>
  <c r="J15" i="17"/>
  <c r="I15" i="15"/>
  <c r="I13" i="12"/>
  <c r="I15" i="17"/>
  <c r="J15" i="13"/>
  <c r="J8" i="12"/>
  <c r="J10" i="17"/>
  <c r="I11" i="12"/>
  <c r="I13" i="17"/>
  <c r="J13" i="13"/>
  <c r="J15" i="15"/>
  <c r="I13" i="13"/>
  <c r="J11" i="12"/>
  <c r="J13" i="17"/>
  <c r="I14" i="12"/>
  <c r="I16" i="17"/>
  <c r="I11" i="13"/>
  <c r="P7" i="1"/>
  <c r="Q7" i="1" s="1"/>
  <c r="I9" i="12"/>
  <c r="I11" i="17"/>
  <c r="J14" i="12"/>
  <c r="J16" i="17"/>
  <c r="J11" i="13"/>
  <c r="I14" i="13"/>
  <c r="I7" i="12"/>
  <c r="I9" i="17"/>
  <c r="J9" i="12"/>
  <c r="J11" i="17"/>
  <c r="I12" i="12"/>
  <c r="I14" i="17"/>
  <c r="J14" i="13"/>
  <c r="J7" i="12"/>
  <c r="J9" i="17"/>
  <c r="J10" i="12"/>
  <c r="J12" i="17"/>
  <c r="C7" i="11"/>
  <c r="C8" i="11" s="1"/>
  <c r="C9" i="17"/>
  <c r="C99" i="17"/>
  <c r="C81" i="17"/>
  <c r="C63" i="17"/>
  <c r="C27" i="17"/>
  <c r="C28" i="17" s="1"/>
  <c r="C29" i="17" s="1"/>
  <c r="C30" i="17" s="1"/>
  <c r="C31" i="17" s="1"/>
  <c r="J12" i="12"/>
  <c r="J14" i="17"/>
  <c r="I15" i="12"/>
  <c r="I17" i="17"/>
  <c r="I12" i="13"/>
  <c r="K9" i="17"/>
  <c r="AB7" i="11"/>
  <c r="Q9" i="1"/>
  <c r="Q11" i="1"/>
  <c r="Q10" i="1"/>
  <c r="H10" i="11"/>
  <c r="Q10" i="11" s="1"/>
  <c r="P42" i="2"/>
  <c r="N10" i="11" s="1"/>
  <c r="Q8" i="1"/>
  <c r="H9" i="13"/>
  <c r="P71" i="2"/>
  <c r="N9" i="13" s="1"/>
  <c r="AC8" i="1"/>
  <c r="AD8" i="1" s="1"/>
  <c r="H9" i="11"/>
  <c r="P41" i="2"/>
  <c r="N9" i="11" s="1"/>
  <c r="H10" i="12"/>
  <c r="P57" i="2"/>
  <c r="H15" i="13"/>
  <c r="P77" i="2"/>
  <c r="H13" i="12"/>
  <c r="P60" i="2"/>
  <c r="H12" i="15"/>
  <c r="P89" i="2"/>
  <c r="N12" i="15" s="1"/>
  <c r="H10" i="13"/>
  <c r="P72" i="2"/>
  <c r="N10" i="13" s="1"/>
  <c r="H11" i="11"/>
  <c r="P43" i="2"/>
  <c r="N11" i="11" s="1"/>
  <c r="H8" i="12"/>
  <c r="P55" i="2"/>
  <c r="H13" i="13"/>
  <c r="P75" i="2"/>
  <c r="H14" i="11"/>
  <c r="P46" i="2"/>
  <c r="N14" i="11" s="1"/>
  <c r="H11" i="12"/>
  <c r="P58" i="2"/>
  <c r="H7" i="15"/>
  <c r="P84" i="2"/>
  <c r="N7" i="15" s="1"/>
  <c r="H10" i="15"/>
  <c r="P87" i="2"/>
  <c r="N10" i="15" s="1"/>
  <c r="H9" i="15"/>
  <c r="P86" i="2"/>
  <c r="N9" i="15" s="1"/>
  <c r="H13" i="11"/>
  <c r="P45" i="2"/>
  <c r="N13" i="11" s="1"/>
  <c r="H14" i="12"/>
  <c r="P61" i="2"/>
  <c r="H8" i="13"/>
  <c r="P70" i="2"/>
  <c r="N8" i="13" s="1"/>
  <c r="H11" i="13"/>
  <c r="P73" i="2"/>
  <c r="H13" i="15"/>
  <c r="P90" i="2"/>
  <c r="N13" i="15" s="1"/>
  <c r="H8" i="11"/>
  <c r="P40" i="2"/>
  <c r="N8" i="11" s="1"/>
  <c r="H15" i="11"/>
  <c r="P47" i="2"/>
  <c r="N15" i="11" s="1"/>
  <c r="H12" i="11"/>
  <c r="P44" i="2"/>
  <c r="N12" i="11" s="1"/>
  <c r="H7" i="11"/>
  <c r="P39" i="2"/>
  <c r="N7" i="11" s="1"/>
  <c r="H9" i="12"/>
  <c r="P56" i="2"/>
  <c r="H14" i="13"/>
  <c r="P76" i="2"/>
  <c r="H7" i="12"/>
  <c r="H12" i="12"/>
  <c r="P59" i="2"/>
  <c r="H8" i="15"/>
  <c r="P85" i="2"/>
  <c r="N8" i="15" s="1"/>
  <c r="H11" i="15"/>
  <c r="P88" i="2"/>
  <c r="N11" i="15" s="1"/>
  <c r="H15" i="12"/>
  <c r="P62" i="2"/>
  <c r="H12" i="13"/>
  <c r="P74" i="2"/>
  <c r="H14" i="15"/>
  <c r="P91" i="2"/>
  <c r="N14" i="15" s="1"/>
  <c r="AE7" i="1"/>
  <c r="AF7" i="1" s="1"/>
  <c r="AC9" i="1"/>
  <c r="AC12" i="1"/>
  <c r="AC14" i="1"/>
  <c r="AC15" i="1"/>
  <c r="AC10" i="1"/>
  <c r="AC11" i="1"/>
  <c r="AC13" i="1"/>
  <c r="U7" i="1"/>
  <c r="V7" i="1" s="1"/>
  <c r="W7" i="1" s="1"/>
  <c r="K15" i="11"/>
  <c r="R15" i="11"/>
  <c r="W15" i="11" s="1"/>
  <c r="K12" i="11"/>
  <c r="R12" i="11"/>
  <c r="W12" i="11" s="1"/>
  <c r="K9" i="11"/>
  <c r="R9" i="11"/>
  <c r="W9" i="11" s="1"/>
  <c r="K7" i="12"/>
  <c r="R7" i="12"/>
  <c r="W7" i="12" s="1"/>
  <c r="K7" i="11"/>
  <c r="R7" i="11"/>
  <c r="W7" i="11" s="1"/>
  <c r="K11" i="11"/>
  <c r="R11" i="11"/>
  <c r="W11" i="11" s="1"/>
  <c r="K14" i="11"/>
  <c r="R14" i="11"/>
  <c r="W14" i="11" s="1"/>
  <c r="K8" i="11"/>
  <c r="R8" i="11"/>
  <c r="W8" i="11" s="1"/>
  <c r="K13" i="11"/>
  <c r="R13" i="11"/>
  <c r="W13" i="11" s="1"/>
  <c r="K10" i="11"/>
  <c r="R10" i="11"/>
  <c r="W10" i="11" s="1"/>
  <c r="N15" i="1"/>
  <c r="N14" i="1"/>
  <c r="N13" i="1"/>
  <c r="N12" i="1"/>
  <c r="N11" i="1"/>
  <c r="N10" i="1"/>
  <c r="N8" i="1"/>
  <c r="K69" i="2"/>
  <c r="O69" i="2" s="1"/>
  <c r="L69" i="2"/>
  <c r="P7" i="13" s="1"/>
  <c r="N7" i="1"/>
  <c r="K92" i="2"/>
  <c r="O92" i="2" s="1"/>
  <c r="L92" i="2"/>
  <c r="P15" i="15" s="1"/>
  <c r="K89" i="2"/>
  <c r="O89" i="2" s="1"/>
  <c r="K85" i="2"/>
  <c r="O85" i="2" s="1"/>
  <c r="K86" i="2"/>
  <c r="O86" i="2" s="1"/>
  <c r="K90" i="2"/>
  <c r="O90" i="2" s="1"/>
  <c r="K91" i="2"/>
  <c r="O91" i="2" s="1"/>
  <c r="K87" i="2"/>
  <c r="O87" i="2" s="1"/>
  <c r="K84" i="2"/>
  <c r="O84" i="2" s="1"/>
  <c r="K88" i="2"/>
  <c r="O88" i="2" s="1"/>
  <c r="K70" i="2"/>
  <c r="O70" i="2" s="1"/>
  <c r="K74" i="2"/>
  <c r="O74" i="2" s="1"/>
  <c r="K71" i="2"/>
  <c r="O71" i="2" s="1"/>
  <c r="K75" i="2"/>
  <c r="O75" i="2" s="1"/>
  <c r="K72" i="2"/>
  <c r="O72" i="2" s="1"/>
  <c r="K76" i="2"/>
  <c r="O76" i="2" s="1"/>
  <c r="K73" i="2"/>
  <c r="O73" i="2" s="1"/>
  <c r="K77" i="2"/>
  <c r="O77" i="2" s="1"/>
  <c r="K55" i="2"/>
  <c r="O55" i="2" s="1"/>
  <c r="K59" i="2"/>
  <c r="O59" i="2" s="1"/>
  <c r="K56" i="2"/>
  <c r="O56" i="2" s="1"/>
  <c r="K60" i="2"/>
  <c r="O60" i="2" s="1"/>
  <c r="K57" i="2"/>
  <c r="O57" i="2" s="1"/>
  <c r="K61" i="2"/>
  <c r="O61" i="2" s="1"/>
  <c r="K58" i="2"/>
  <c r="O58" i="2" s="1"/>
  <c r="K62" i="2"/>
  <c r="O62" i="2" s="1"/>
  <c r="C7" i="15"/>
  <c r="C8" i="15" s="1"/>
  <c r="C9" i="15" s="1"/>
  <c r="C7" i="12"/>
  <c r="C8" i="12" s="1"/>
  <c r="C7" i="13"/>
  <c r="C8" i="13" s="1"/>
  <c r="C9" i="13" s="1"/>
  <c r="Z7" i="15"/>
  <c r="AA7" i="15" s="1"/>
  <c r="B9" i="12"/>
  <c r="B10" i="12" s="1"/>
  <c r="B11" i="12" s="1"/>
  <c r="B12" i="12" s="1"/>
  <c r="B13" i="12" s="1"/>
  <c r="B14" i="12" s="1"/>
  <c r="B15" i="12" s="1"/>
  <c r="Z7" i="12"/>
  <c r="AA7" i="12" s="1"/>
  <c r="C7" i="1"/>
  <c r="C8" i="1" s="1"/>
  <c r="C9" i="1" s="1"/>
  <c r="V9" i="17" l="1"/>
  <c r="M51" i="17"/>
  <c r="O51" i="17" s="1"/>
  <c r="Q12" i="1"/>
  <c r="O12" i="11" s="1"/>
  <c r="H107" i="17"/>
  <c r="H71" i="17"/>
  <c r="H35" i="17"/>
  <c r="H89" i="17"/>
  <c r="H105" i="17"/>
  <c r="H69" i="17"/>
  <c r="H33" i="17"/>
  <c r="H87" i="17"/>
  <c r="P87" i="17" s="1"/>
  <c r="Q104" i="17"/>
  <c r="V104" i="17" s="1"/>
  <c r="Q32" i="17"/>
  <c r="Q68" i="17"/>
  <c r="V68" i="17" s="1"/>
  <c r="Q86" i="17"/>
  <c r="V86" i="17" s="1"/>
  <c r="Q50" i="17"/>
  <c r="V50" i="17" s="1"/>
  <c r="Q103" i="17"/>
  <c r="V103" i="17" s="1"/>
  <c r="Q85" i="17"/>
  <c r="V85" i="17" s="1"/>
  <c r="Q67" i="17"/>
  <c r="V67" i="17" s="1"/>
  <c r="Q31" i="17"/>
  <c r="Q49" i="17"/>
  <c r="V49" i="17" s="1"/>
  <c r="C10" i="17"/>
  <c r="C11" i="17" s="1"/>
  <c r="C12" i="17" s="1"/>
  <c r="C13" i="17" s="1"/>
  <c r="C14" i="17" s="1"/>
  <c r="Q34" i="17"/>
  <c r="Q52" i="17"/>
  <c r="V52" i="17" s="1"/>
  <c r="Q88" i="17"/>
  <c r="V88" i="17" s="1"/>
  <c r="Q106" i="17"/>
  <c r="V106" i="17" s="1"/>
  <c r="Q70" i="17"/>
  <c r="V70" i="17" s="1"/>
  <c r="J83" i="17"/>
  <c r="J65" i="17"/>
  <c r="J101" i="17"/>
  <c r="J29" i="17"/>
  <c r="J47" i="17" s="1"/>
  <c r="I105" i="17"/>
  <c r="I69" i="17"/>
  <c r="I87" i="17"/>
  <c r="I33" i="17"/>
  <c r="I51" i="17" s="1"/>
  <c r="O104" i="17"/>
  <c r="L105" i="17"/>
  <c r="H88" i="17"/>
  <c r="H106" i="17"/>
  <c r="H34" i="17"/>
  <c r="H70" i="17"/>
  <c r="Q102" i="17"/>
  <c r="V102" i="17" s="1"/>
  <c r="Q84" i="17"/>
  <c r="V84" i="17" s="1"/>
  <c r="Q66" i="17"/>
  <c r="V66" i="17" s="1"/>
  <c r="Q48" i="17"/>
  <c r="V48" i="17" s="1"/>
  <c r="Q30" i="17"/>
  <c r="N68" i="17"/>
  <c r="N50" i="17"/>
  <c r="N86" i="17"/>
  <c r="N104" i="17"/>
  <c r="N32" i="17"/>
  <c r="J104" i="17"/>
  <c r="J68" i="17"/>
  <c r="J86" i="17"/>
  <c r="J32" i="17"/>
  <c r="J50" i="17" s="1"/>
  <c r="J102" i="17"/>
  <c r="J66" i="17"/>
  <c r="J84" i="17"/>
  <c r="J30" i="17"/>
  <c r="J48" i="17" s="1"/>
  <c r="J89" i="17"/>
  <c r="J107" i="17"/>
  <c r="J71" i="17"/>
  <c r="J35" i="17"/>
  <c r="J53" i="17" s="1"/>
  <c r="Q101" i="17"/>
  <c r="V101" i="17" s="1"/>
  <c r="Q83" i="17"/>
  <c r="V83" i="17" s="1"/>
  <c r="Q65" i="17"/>
  <c r="V65" i="17" s="1"/>
  <c r="Q29" i="17"/>
  <c r="Q47" i="17"/>
  <c r="V47" i="17" s="1"/>
  <c r="N101" i="17"/>
  <c r="N83" i="17"/>
  <c r="N65" i="17"/>
  <c r="N29" i="17"/>
  <c r="N47" i="17"/>
  <c r="P17" i="17"/>
  <c r="I107" i="17"/>
  <c r="I71" i="17"/>
  <c r="I35" i="17"/>
  <c r="I53" i="17" s="1"/>
  <c r="I89" i="17"/>
  <c r="N70" i="17"/>
  <c r="N52" i="17"/>
  <c r="N34" i="17"/>
  <c r="N106" i="17"/>
  <c r="N88" i="17"/>
  <c r="N100" i="17"/>
  <c r="N82" i="17"/>
  <c r="N64" i="17"/>
  <c r="N28" i="17"/>
  <c r="N46" i="17"/>
  <c r="N10" i="17"/>
  <c r="N69" i="17"/>
  <c r="N51" i="17"/>
  <c r="N33" i="17"/>
  <c r="N105" i="17"/>
  <c r="N87" i="17"/>
  <c r="P11" i="17"/>
  <c r="I101" i="17"/>
  <c r="I65" i="17"/>
  <c r="I83" i="17"/>
  <c r="I29" i="17"/>
  <c r="I47" i="17" s="1"/>
  <c r="Q33" i="17"/>
  <c r="Q105" i="17"/>
  <c r="V105" i="17" s="1"/>
  <c r="Q87" i="17"/>
  <c r="V87" i="17" s="1"/>
  <c r="Q69" i="17"/>
  <c r="V69" i="17" s="1"/>
  <c r="Q51" i="17"/>
  <c r="V51" i="17" s="1"/>
  <c r="N103" i="17"/>
  <c r="N85" i="17"/>
  <c r="N49" i="17"/>
  <c r="N31" i="17"/>
  <c r="N67" i="17"/>
  <c r="I81" i="17"/>
  <c r="I63" i="17"/>
  <c r="I27" i="17"/>
  <c r="I45" i="17" s="1"/>
  <c r="I99" i="17"/>
  <c r="H86" i="17"/>
  <c r="H68" i="17"/>
  <c r="H104" i="17"/>
  <c r="H32" i="17"/>
  <c r="N89" i="17"/>
  <c r="N71" i="17"/>
  <c r="N107" i="17"/>
  <c r="N53" i="17"/>
  <c r="N35" i="17"/>
  <c r="N99" i="17"/>
  <c r="N81" i="17"/>
  <c r="N63" i="17"/>
  <c r="N27" i="17"/>
  <c r="N45" i="17"/>
  <c r="N9" i="17"/>
  <c r="J81" i="17"/>
  <c r="J63" i="17"/>
  <c r="J99" i="17"/>
  <c r="J27" i="17"/>
  <c r="J45" i="17" s="1"/>
  <c r="P13" i="17"/>
  <c r="I103" i="17"/>
  <c r="I67" i="17"/>
  <c r="I31" i="17"/>
  <c r="I49" i="17" s="1"/>
  <c r="I85" i="17"/>
  <c r="J87" i="17"/>
  <c r="J69" i="17"/>
  <c r="J105" i="17"/>
  <c r="J33" i="17"/>
  <c r="J51" i="17" s="1"/>
  <c r="P12" i="17"/>
  <c r="I30" i="17"/>
  <c r="I48" i="17" s="1"/>
  <c r="I84" i="17"/>
  <c r="I102" i="17"/>
  <c r="I66" i="17"/>
  <c r="H63" i="17"/>
  <c r="H99" i="17"/>
  <c r="H27" i="17"/>
  <c r="P9" i="17"/>
  <c r="R9" i="17" s="1"/>
  <c r="S9" i="17" s="1"/>
  <c r="H81" i="17"/>
  <c r="N102" i="17"/>
  <c r="N84" i="17"/>
  <c r="N66" i="17"/>
  <c r="N48" i="17"/>
  <c r="N30" i="17"/>
  <c r="P16" i="17"/>
  <c r="I34" i="17"/>
  <c r="I52" i="17" s="1"/>
  <c r="I88" i="17"/>
  <c r="I106" i="17"/>
  <c r="I70" i="17"/>
  <c r="H84" i="17"/>
  <c r="H102" i="17"/>
  <c r="H30" i="17"/>
  <c r="H66" i="17"/>
  <c r="H82" i="17"/>
  <c r="H64" i="17"/>
  <c r="H100" i="17"/>
  <c r="H28" i="17"/>
  <c r="Q82" i="17"/>
  <c r="V82" i="17" s="1"/>
  <c r="Q64" i="17"/>
  <c r="V64" i="17" s="1"/>
  <c r="Q28" i="17"/>
  <c r="Q46" i="17"/>
  <c r="V46" i="17" s="1"/>
  <c r="Q100" i="17"/>
  <c r="V100" i="17" s="1"/>
  <c r="K99" i="17"/>
  <c r="K63" i="17"/>
  <c r="K27" i="17"/>
  <c r="K45" i="17" s="1"/>
  <c r="K81" i="17"/>
  <c r="J100" i="17"/>
  <c r="J64" i="17"/>
  <c r="J28" i="17"/>
  <c r="J46" i="17" s="1"/>
  <c r="J82" i="17"/>
  <c r="P10" i="17"/>
  <c r="I28" i="17"/>
  <c r="I46" i="17" s="1"/>
  <c r="I82" i="17"/>
  <c r="I64" i="17"/>
  <c r="I100" i="17"/>
  <c r="H103" i="17"/>
  <c r="H67" i="17"/>
  <c r="H31" i="17"/>
  <c r="H85" i="17"/>
  <c r="Q71" i="17"/>
  <c r="V71" i="17" s="1"/>
  <c r="Q35" i="17"/>
  <c r="Q53" i="17"/>
  <c r="V53" i="17" s="1"/>
  <c r="Q89" i="17"/>
  <c r="V89" i="17" s="1"/>
  <c r="Q107" i="17"/>
  <c r="V107" i="17" s="1"/>
  <c r="AG63" i="17"/>
  <c r="AG27" i="17"/>
  <c r="AG45" i="17"/>
  <c r="AG81" i="17"/>
  <c r="AG99" i="17"/>
  <c r="AG9" i="17"/>
  <c r="P14" i="17"/>
  <c r="I32" i="17"/>
  <c r="I50" i="17" s="1"/>
  <c r="I86" i="17"/>
  <c r="I68" i="17"/>
  <c r="I104" i="17"/>
  <c r="J106" i="17"/>
  <c r="J70" i="17"/>
  <c r="J88" i="17"/>
  <c r="J34" i="17"/>
  <c r="J52" i="17" s="1"/>
  <c r="J85" i="17"/>
  <c r="J31" i="17"/>
  <c r="J49" i="17" s="1"/>
  <c r="J103" i="17"/>
  <c r="J67" i="17"/>
  <c r="L52" i="17"/>
  <c r="H101" i="17"/>
  <c r="H65" i="17"/>
  <c r="H29" i="17"/>
  <c r="H83" i="17"/>
  <c r="L33" i="17"/>
  <c r="O32" i="17"/>
  <c r="C50" i="17"/>
  <c r="N7" i="12"/>
  <c r="O7" i="12" s="1"/>
  <c r="N11" i="13"/>
  <c r="O11" i="13" s="1"/>
  <c r="N10" i="12"/>
  <c r="O10" i="12" s="1"/>
  <c r="N12" i="17"/>
  <c r="C64" i="17"/>
  <c r="C65" i="17" s="1"/>
  <c r="C66" i="17" s="1"/>
  <c r="C67" i="17" s="1"/>
  <c r="C68" i="17" s="1"/>
  <c r="Q11" i="17"/>
  <c r="K11" i="17"/>
  <c r="N14" i="13"/>
  <c r="C82" i="17"/>
  <c r="C83" i="17" s="1"/>
  <c r="C84" i="17" s="1"/>
  <c r="C85" i="17" s="1"/>
  <c r="C86" i="17" s="1"/>
  <c r="N13" i="13"/>
  <c r="P15" i="17"/>
  <c r="K10" i="17"/>
  <c r="Q10" i="17"/>
  <c r="K13" i="17"/>
  <c r="Q13" i="17"/>
  <c r="N9" i="12"/>
  <c r="O9" i="12" s="1"/>
  <c r="N11" i="17"/>
  <c r="C100" i="17"/>
  <c r="C101" i="17" s="1"/>
  <c r="C102" i="17" s="1"/>
  <c r="C103" i="17" s="1"/>
  <c r="C104" i="17" s="1"/>
  <c r="C105" i="17" s="1"/>
  <c r="Q16" i="17"/>
  <c r="K16" i="17"/>
  <c r="N14" i="12"/>
  <c r="N16" i="17"/>
  <c r="N8" i="12"/>
  <c r="O8" i="12" s="1"/>
  <c r="N13" i="12"/>
  <c r="N15" i="17"/>
  <c r="N15" i="12"/>
  <c r="N17" i="17"/>
  <c r="K14" i="17"/>
  <c r="Q14" i="17"/>
  <c r="Q12" i="17"/>
  <c r="K12" i="17"/>
  <c r="N12" i="13"/>
  <c r="O12" i="13" s="1"/>
  <c r="N12" i="12"/>
  <c r="N14" i="17"/>
  <c r="Q17" i="17"/>
  <c r="K17" i="17"/>
  <c r="K15" i="17"/>
  <c r="Q15" i="17"/>
  <c r="N11" i="12"/>
  <c r="O11" i="12" s="1"/>
  <c r="N13" i="17"/>
  <c r="N15" i="13"/>
  <c r="C32" i="17"/>
  <c r="O9" i="15"/>
  <c r="O9" i="11"/>
  <c r="O7" i="11"/>
  <c r="O10" i="11"/>
  <c r="O8" i="13"/>
  <c r="O10" i="15"/>
  <c r="O7" i="15"/>
  <c r="O9" i="13"/>
  <c r="O11" i="15"/>
  <c r="O11" i="11"/>
  <c r="O10" i="13"/>
  <c r="H7" i="13"/>
  <c r="P69" i="2"/>
  <c r="N7" i="13" s="1"/>
  <c r="O8" i="15"/>
  <c r="H15" i="15"/>
  <c r="P92" i="2"/>
  <c r="O8" i="11"/>
  <c r="X7" i="1"/>
  <c r="AG7" i="1" s="1"/>
  <c r="AH7" i="15"/>
  <c r="AH7" i="13"/>
  <c r="AH7" i="12"/>
  <c r="AH7" i="11"/>
  <c r="AD9" i="1"/>
  <c r="AD10" i="1" s="1"/>
  <c r="AE8" i="1"/>
  <c r="AF8" i="1" s="1"/>
  <c r="K13" i="12"/>
  <c r="R13" i="12"/>
  <c r="W13" i="12" s="1"/>
  <c r="K7" i="13"/>
  <c r="R7" i="13"/>
  <c r="W7" i="13" s="1"/>
  <c r="K10" i="15"/>
  <c r="R10" i="15"/>
  <c r="W10" i="15" s="1"/>
  <c r="K13" i="13"/>
  <c r="R13" i="13"/>
  <c r="W13" i="13" s="1"/>
  <c r="K13" i="15"/>
  <c r="R13" i="15"/>
  <c r="W13" i="15" s="1"/>
  <c r="K9" i="12"/>
  <c r="R9" i="12"/>
  <c r="W9" i="12" s="1"/>
  <c r="K9" i="13"/>
  <c r="R9" i="13"/>
  <c r="W9" i="13" s="1"/>
  <c r="K9" i="15"/>
  <c r="R9" i="15"/>
  <c r="W9" i="15" s="1"/>
  <c r="K14" i="12"/>
  <c r="R14" i="12"/>
  <c r="W14" i="12" s="1"/>
  <c r="K10" i="13"/>
  <c r="R10" i="13"/>
  <c r="W10" i="13" s="1"/>
  <c r="K12" i="12"/>
  <c r="R12" i="12"/>
  <c r="W12" i="12" s="1"/>
  <c r="K8" i="15"/>
  <c r="R8" i="15"/>
  <c r="W8" i="15" s="1"/>
  <c r="K8" i="13"/>
  <c r="R8" i="13"/>
  <c r="W8" i="13" s="1"/>
  <c r="K14" i="13"/>
  <c r="R14" i="13"/>
  <c r="W14" i="13" s="1"/>
  <c r="K14" i="15"/>
  <c r="R14" i="15"/>
  <c r="W14" i="15" s="1"/>
  <c r="K12" i="13"/>
  <c r="R12" i="13"/>
  <c r="W12" i="13" s="1"/>
  <c r="K12" i="15"/>
  <c r="R12" i="15"/>
  <c r="W12" i="15" s="1"/>
  <c r="K15" i="12"/>
  <c r="R15" i="12"/>
  <c r="W15" i="12" s="1"/>
  <c r="K10" i="12"/>
  <c r="R10" i="12"/>
  <c r="W10" i="12" s="1"/>
  <c r="K8" i="12"/>
  <c r="R8" i="12"/>
  <c r="W8" i="12" s="1"/>
  <c r="K15" i="13"/>
  <c r="R15" i="13"/>
  <c r="W15" i="13" s="1"/>
  <c r="K11" i="15"/>
  <c r="R11" i="15"/>
  <c r="W11" i="15" s="1"/>
  <c r="K11" i="12"/>
  <c r="R11" i="12"/>
  <c r="W11" i="12" s="1"/>
  <c r="K11" i="13"/>
  <c r="R11" i="13"/>
  <c r="W11" i="13" s="1"/>
  <c r="K7" i="15"/>
  <c r="R7" i="15"/>
  <c r="W7" i="15" s="1"/>
  <c r="K15" i="15"/>
  <c r="R15" i="15"/>
  <c r="W15" i="15" s="1"/>
  <c r="Q7" i="12"/>
  <c r="S7" i="12" s="1"/>
  <c r="Q14" i="13"/>
  <c r="S10" i="11"/>
  <c r="Q10" i="12"/>
  <c r="Q10" i="13"/>
  <c r="C10" i="15"/>
  <c r="C10" i="13"/>
  <c r="C9" i="12"/>
  <c r="C9" i="11"/>
  <c r="B10" i="1"/>
  <c r="B11" i="1" s="1"/>
  <c r="B12" i="1" s="1"/>
  <c r="B13" i="1" s="1"/>
  <c r="B14" i="1" s="1"/>
  <c r="B15" i="1" s="1"/>
  <c r="O12" i="15" l="1"/>
  <c r="P81" i="17"/>
  <c r="R81" i="17" s="1"/>
  <c r="S81" i="17" s="1"/>
  <c r="P103" i="17"/>
  <c r="O12" i="12"/>
  <c r="P100" i="17"/>
  <c r="R100" i="17" s="1"/>
  <c r="S100" i="17" s="1"/>
  <c r="W100" i="17" s="1"/>
  <c r="P67" i="17"/>
  <c r="R67" i="17" s="1"/>
  <c r="R87" i="17"/>
  <c r="S87" i="17" s="1"/>
  <c r="W87" i="17" s="1"/>
  <c r="P101" i="17"/>
  <c r="R101" i="17" s="1"/>
  <c r="S101" i="17" s="1"/>
  <c r="W101" i="17" s="1"/>
  <c r="P84" i="17"/>
  <c r="R84" i="17" s="1"/>
  <c r="S84" i="17" s="1"/>
  <c r="W84" i="17" s="1"/>
  <c r="P86" i="17"/>
  <c r="R86" i="17" s="1"/>
  <c r="M52" i="17"/>
  <c r="O52" i="17" s="1"/>
  <c r="Q13" i="1"/>
  <c r="O13" i="12" s="1"/>
  <c r="P70" i="17"/>
  <c r="R70" i="17" s="1"/>
  <c r="H51" i="17"/>
  <c r="P51" i="17" s="1"/>
  <c r="R51" i="17" s="1"/>
  <c r="P33" i="17"/>
  <c r="R33" i="17" s="1"/>
  <c r="V17" i="17"/>
  <c r="V35" i="17"/>
  <c r="V10" i="17"/>
  <c r="V28" i="17"/>
  <c r="K83" i="17"/>
  <c r="K65" i="17"/>
  <c r="K101" i="17"/>
  <c r="K29" i="17"/>
  <c r="K47" i="17" s="1"/>
  <c r="P69" i="17"/>
  <c r="R69" i="17" s="1"/>
  <c r="AG10" i="17"/>
  <c r="AG46" i="17"/>
  <c r="AG100" i="17"/>
  <c r="AG64" i="17"/>
  <c r="AG82" i="17"/>
  <c r="AG28" i="17"/>
  <c r="P85" i="17"/>
  <c r="R85" i="17" s="1"/>
  <c r="P64" i="17"/>
  <c r="R64" i="17" s="1"/>
  <c r="W81" i="17"/>
  <c r="U81" i="17"/>
  <c r="AB81" i="17" s="1"/>
  <c r="P106" i="17"/>
  <c r="R106" i="17" s="1"/>
  <c r="P105" i="17"/>
  <c r="R105" i="17" s="1"/>
  <c r="H46" i="17"/>
  <c r="P46" i="17" s="1"/>
  <c r="R46" i="17" s="1"/>
  <c r="P28" i="17"/>
  <c r="R28" i="17" s="1"/>
  <c r="D28" i="17" s="1"/>
  <c r="K102" i="17"/>
  <c r="K66" i="17"/>
  <c r="K84" i="17"/>
  <c r="K30" i="17"/>
  <c r="K48" i="17" s="1"/>
  <c r="L34" i="17"/>
  <c r="O33" i="17"/>
  <c r="H49" i="17"/>
  <c r="P49" i="17" s="1"/>
  <c r="R49" i="17" s="1"/>
  <c r="P31" i="17"/>
  <c r="R31" i="17" s="1"/>
  <c r="P82" i="17"/>
  <c r="R82" i="17" s="1"/>
  <c r="P88" i="17"/>
  <c r="R88" i="17" s="1"/>
  <c r="P89" i="17"/>
  <c r="R89" i="17" s="1"/>
  <c r="D84" i="17"/>
  <c r="V11" i="17"/>
  <c r="V29" i="17"/>
  <c r="L53" i="17"/>
  <c r="V15" i="17"/>
  <c r="V33" i="17"/>
  <c r="V12" i="17"/>
  <c r="V30" i="17"/>
  <c r="P83" i="17"/>
  <c r="R83" i="17" s="1"/>
  <c r="P66" i="17"/>
  <c r="R66" i="17" s="1"/>
  <c r="H45" i="17"/>
  <c r="P45" i="17" s="1"/>
  <c r="R45" i="17" s="1"/>
  <c r="S45" i="17" s="1"/>
  <c r="P27" i="17"/>
  <c r="R27" i="17" s="1"/>
  <c r="S27" i="17" s="1"/>
  <c r="U27" i="17" s="1"/>
  <c r="H50" i="17"/>
  <c r="P50" i="17" s="1"/>
  <c r="R50" i="17" s="1"/>
  <c r="P32" i="17"/>
  <c r="R32" i="17" s="1"/>
  <c r="L106" i="17"/>
  <c r="O105" i="17"/>
  <c r="H53" i="17"/>
  <c r="P53" i="17" s="1"/>
  <c r="R53" i="17" s="1"/>
  <c r="P35" i="17"/>
  <c r="R35" i="17" s="1"/>
  <c r="V16" i="17"/>
  <c r="V34" i="17"/>
  <c r="K64" i="17"/>
  <c r="K100" i="17"/>
  <c r="K28" i="17"/>
  <c r="K46" i="17" s="1"/>
  <c r="K82" i="17"/>
  <c r="K87" i="17"/>
  <c r="K33" i="17"/>
  <c r="K51" i="17" s="1"/>
  <c r="K69" i="17"/>
  <c r="K105" i="17"/>
  <c r="V14" i="17"/>
  <c r="V32" i="17"/>
  <c r="V13" i="17"/>
  <c r="V31" i="17"/>
  <c r="H47" i="17"/>
  <c r="P47" i="17" s="1"/>
  <c r="R47" i="17" s="1"/>
  <c r="P29" i="17"/>
  <c r="R29" i="17" s="1"/>
  <c r="R103" i="17"/>
  <c r="P30" i="17"/>
  <c r="R30" i="17" s="1"/>
  <c r="S30" i="17" s="1"/>
  <c r="H48" i="17"/>
  <c r="P48" i="17" s="1"/>
  <c r="R48" i="17" s="1"/>
  <c r="P99" i="17"/>
  <c r="R99" i="17" s="1"/>
  <c r="S99" i="17" s="1"/>
  <c r="P104" i="17"/>
  <c r="R104" i="17" s="1"/>
  <c r="P71" i="17"/>
  <c r="R71" i="17" s="1"/>
  <c r="D86" i="17"/>
  <c r="S86" i="17"/>
  <c r="W86" i="17" s="1"/>
  <c r="P34" i="17"/>
  <c r="R34" i="17" s="1"/>
  <c r="H52" i="17"/>
  <c r="P52" i="17" s="1"/>
  <c r="R52" i="17" s="1"/>
  <c r="K89" i="17"/>
  <c r="K107" i="17"/>
  <c r="K35" i="17"/>
  <c r="K53" i="17" s="1"/>
  <c r="K71" i="17"/>
  <c r="K68" i="17"/>
  <c r="K104" i="17"/>
  <c r="K32" i="17"/>
  <c r="K50" i="17" s="1"/>
  <c r="K86" i="17"/>
  <c r="K106" i="17"/>
  <c r="K70" i="17"/>
  <c r="K88" i="17"/>
  <c r="K34" i="17"/>
  <c r="K52" i="17" s="1"/>
  <c r="K85" i="17"/>
  <c r="K31" i="17"/>
  <c r="K49" i="17" s="1"/>
  <c r="K103" i="17"/>
  <c r="K67" i="17"/>
  <c r="P65" i="17"/>
  <c r="R65" i="17" s="1"/>
  <c r="P102" i="17"/>
  <c r="R102" i="17" s="1"/>
  <c r="P63" i="17"/>
  <c r="R63" i="17" s="1"/>
  <c r="S63" i="17" s="1"/>
  <c r="P68" i="17"/>
  <c r="R68" i="17" s="1"/>
  <c r="P107" i="17"/>
  <c r="R107" i="17" s="1"/>
  <c r="U9" i="17"/>
  <c r="AB9" i="17" s="1"/>
  <c r="AC9" i="17" s="1"/>
  <c r="AD9" i="17" s="1"/>
  <c r="AF9" i="17" s="1"/>
  <c r="C51" i="17"/>
  <c r="R13" i="17"/>
  <c r="S13" i="17" s="1"/>
  <c r="R15" i="17"/>
  <c r="D15" i="17" s="1"/>
  <c r="S31" i="17"/>
  <c r="W31" i="17" s="1"/>
  <c r="R14" i="17"/>
  <c r="S14" i="17" s="1"/>
  <c r="W9" i="17"/>
  <c r="R12" i="17"/>
  <c r="S12" i="17" s="1"/>
  <c r="N15" i="15"/>
  <c r="R16" i="17"/>
  <c r="D13" i="17"/>
  <c r="R17" i="17"/>
  <c r="D17" i="17" s="1"/>
  <c r="D30" i="17"/>
  <c r="R10" i="17"/>
  <c r="D10" i="17" s="1"/>
  <c r="R11" i="17"/>
  <c r="C106" i="17"/>
  <c r="C87" i="17"/>
  <c r="C69" i="17"/>
  <c r="C33" i="17"/>
  <c r="C15" i="17"/>
  <c r="C10" i="1"/>
  <c r="O7" i="13"/>
  <c r="S10" i="13"/>
  <c r="T10" i="13" s="1"/>
  <c r="X10" i="13" s="1"/>
  <c r="AH8" i="15"/>
  <c r="AH8" i="11"/>
  <c r="AH8" i="13"/>
  <c r="AH8" i="12"/>
  <c r="AD11" i="1"/>
  <c r="AE10" i="1"/>
  <c r="AF10" i="1" s="1"/>
  <c r="AE9" i="1"/>
  <c r="AF9" i="1" s="1"/>
  <c r="S14" i="13"/>
  <c r="T14" i="13" s="1"/>
  <c r="S10" i="12"/>
  <c r="T10" i="12" s="1"/>
  <c r="T10" i="11"/>
  <c r="X10" i="11" s="1"/>
  <c r="Q15" i="11"/>
  <c r="S15" i="11" s="1"/>
  <c r="Q14" i="11"/>
  <c r="S14" i="11" s="1"/>
  <c r="Q14" i="12"/>
  <c r="S14" i="12" s="1"/>
  <c r="Q14" i="15"/>
  <c r="S14" i="15" s="1"/>
  <c r="Q7" i="11"/>
  <c r="S7" i="11" s="1"/>
  <c r="Q10" i="15"/>
  <c r="S10" i="15" s="1"/>
  <c r="Q12" i="11"/>
  <c r="S12" i="11" s="1"/>
  <c r="Q9" i="13"/>
  <c r="S9" i="13" s="1"/>
  <c r="Q13" i="11"/>
  <c r="S13" i="11" s="1"/>
  <c r="Q8" i="13"/>
  <c r="S8" i="13" s="1"/>
  <c r="Q7" i="13"/>
  <c r="S7" i="13" s="1"/>
  <c r="Q12" i="13"/>
  <c r="S12" i="13" s="1"/>
  <c r="Q8" i="12"/>
  <c r="T7" i="12"/>
  <c r="X7" i="12" s="1"/>
  <c r="Q9" i="11"/>
  <c r="S9" i="11" s="1"/>
  <c r="Q11" i="11"/>
  <c r="S11" i="11" s="1"/>
  <c r="Q9" i="15"/>
  <c r="S9" i="15" s="1"/>
  <c r="Q11" i="13"/>
  <c r="S11" i="13" s="1"/>
  <c r="Q13" i="12"/>
  <c r="S13" i="12" s="1"/>
  <c r="Q12" i="12"/>
  <c r="S12" i="12" s="1"/>
  <c r="Q15" i="13"/>
  <c r="S15" i="13" s="1"/>
  <c r="Q8" i="11"/>
  <c r="S8" i="11" s="1"/>
  <c r="Q13" i="15"/>
  <c r="S13" i="15" s="1"/>
  <c r="Q15" i="12"/>
  <c r="S15" i="12" s="1"/>
  <c r="Q11" i="12"/>
  <c r="S11" i="12" s="1"/>
  <c r="Q9" i="12"/>
  <c r="S9" i="12" s="1"/>
  <c r="Q11" i="15"/>
  <c r="S11" i="15" s="1"/>
  <c r="Q13" i="13"/>
  <c r="S13" i="13" s="1"/>
  <c r="Q15" i="15"/>
  <c r="S15" i="15" s="1"/>
  <c r="Q8" i="15"/>
  <c r="S8" i="15" s="1"/>
  <c r="Q7" i="15"/>
  <c r="S7" i="15" s="1"/>
  <c r="Q12" i="15"/>
  <c r="S12" i="15" s="1"/>
  <c r="C11" i="15"/>
  <c r="C11" i="13"/>
  <c r="C10" i="12"/>
  <c r="C10" i="11"/>
  <c r="C12" i="2"/>
  <c r="D100" i="17" l="1"/>
  <c r="D101" i="17"/>
  <c r="D87" i="17"/>
  <c r="W12" i="17"/>
  <c r="O13" i="15"/>
  <c r="O13" i="11"/>
  <c r="O13" i="13"/>
  <c r="M53" i="17"/>
  <c r="Q14" i="1"/>
  <c r="W13" i="17"/>
  <c r="AG11" i="17"/>
  <c r="AG47" i="17"/>
  <c r="AG29" i="17"/>
  <c r="AG83" i="17"/>
  <c r="AG101" i="17"/>
  <c r="AG65" i="17"/>
  <c r="S107" i="17"/>
  <c r="W107" i="17" s="1"/>
  <c r="D107" i="17"/>
  <c r="W45" i="17"/>
  <c r="U45" i="17"/>
  <c r="AB45" i="17" s="1"/>
  <c r="S82" i="17"/>
  <c r="W82" i="17" s="1"/>
  <c r="X82" i="17" s="1"/>
  <c r="D82" i="17"/>
  <c r="S85" i="17"/>
  <c r="W85" i="17" s="1"/>
  <c r="D85" i="17"/>
  <c r="AG12" i="17"/>
  <c r="AG66" i="17"/>
  <c r="AG30" i="17"/>
  <c r="AG84" i="17"/>
  <c r="AG48" i="17"/>
  <c r="AG102" i="17"/>
  <c r="W14" i="17"/>
  <c r="D68" i="17"/>
  <c r="S68" i="17"/>
  <c r="W68" i="17" s="1"/>
  <c r="S71" i="17"/>
  <c r="W71" i="17" s="1"/>
  <c r="D71" i="17"/>
  <c r="S35" i="17"/>
  <c r="W35" i="17" s="1"/>
  <c r="D35" i="17"/>
  <c r="S66" i="17"/>
  <c r="W66" i="17" s="1"/>
  <c r="D66" i="17"/>
  <c r="S47" i="17"/>
  <c r="W47" i="17" s="1"/>
  <c r="D47" i="17"/>
  <c r="W63" i="17"/>
  <c r="U63" i="17"/>
  <c r="AB63" i="17" s="1"/>
  <c r="D104" i="17"/>
  <c r="S104" i="17"/>
  <c r="W104" i="17" s="1"/>
  <c r="S53" i="17"/>
  <c r="W53" i="17" s="1"/>
  <c r="D53" i="17"/>
  <c r="D67" i="17"/>
  <c r="S67" i="17"/>
  <c r="W67" i="17" s="1"/>
  <c r="S49" i="17"/>
  <c r="W49" i="17" s="1"/>
  <c r="D49" i="17"/>
  <c r="D46" i="17"/>
  <c r="S46" i="17"/>
  <c r="W46" i="17" s="1"/>
  <c r="X46" i="17" s="1"/>
  <c r="D69" i="17"/>
  <c r="S69" i="17"/>
  <c r="W69" i="17" s="1"/>
  <c r="S88" i="17"/>
  <c r="W88" i="17" s="1"/>
  <c r="D88" i="17"/>
  <c r="S102" i="17"/>
  <c r="W102" i="17" s="1"/>
  <c r="D102" i="17"/>
  <c r="D105" i="17"/>
  <c r="S105" i="17"/>
  <c r="W105" i="17" s="1"/>
  <c r="S48" i="17"/>
  <c r="W48" i="17" s="1"/>
  <c r="D48" i="17"/>
  <c r="S106" i="17"/>
  <c r="W106" i="17" s="1"/>
  <c r="D106" i="17"/>
  <c r="D33" i="17"/>
  <c r="S33" i="17"/>
  <c r="W33" i="17" s="1"/>
  <c r="S64" i="17"/>
  <c r="W64" i="17" s="1"/>
  <c r="X64" i="17" s="1"/>
  <c r="D64" i="17"/>
  <c r="W99" i="17"/>
  <c r="U99" i="17"/>
  <c r="AB99" i="17" s="1"/>
  <c r="D83" i="17"/>
  <c r="S83" i="17"/>
  <c r="W83" i="17" s="1"/>
  <c r="S65" i="17"/>
  <c r="W65" i="17" s="1"/>
  <c r="D65" i="17"/>
  <c r="L107" i="17"/>
  <c r="O107" i="17" s="1"/>
  <c r="O106" i="17"/>
  <c r="L35" i="17"/>
  <c r="O35" i="17" s="1"/>
  <c r="O34" i="17"/>
  <c r="D52" i="17"/>
  <c r="S52" i="17"/>
  <c r="W52" i="17" s="1"/>
  <c r="S32" i="17"/>
  <c r="W32" i="17" s="1"/>
  <c r="D32" i="17"/>
  <c r="AC81" i="17"/>
  <c r="AD81" i="17" s="1"/>
  <c r="AF81" i="17" s="1"/>
  <c r="AH81" i="17"/>
  <c r="S51" i="17"/>
  <c r="W51" i="17" s="1"/>
  <c r="D51" i="17"/>
  <c r="D34" i="17"/>
  <c r="S34" i="17"/>
  <c r="W34" i="17" s="1"/>
  <c r="D103" i="17"/>
  <c r="S103" i="17"/>
  <c r="W103" i="17" s="1"/>
  <c r="D50" i="17"/>
  <c r="S50" i="17"/>
  <c r="W50" i="17" s="1"/>
  <c r="D89" i="17"/>
  <c r="S89" i="17"/>
  <c r="W89" i="17" s="1"/>
  <c r="S70" i="17"/>
  <c r="W70" i="17" s="1"/>
  <c r="D70" i="17"/>
  <c r="AH9" i="17"/>
  <c r="C52" i="17"/>
  <c r="S28" i="17"/>
  <c r="W28" i="17" s="1"/>
  <c r="X28" i="17" s="1"/>
  <c r="D14" i="17"/>
  <c r="D12" i="17"/>
  <c r="S15" i="17"/>
  <c r="W15" i="17" s="1"/>
  <c r="D31" i="17"/>
  <c r="S10" i="17"/>
  <c r="W10" i="17" s="1"/>
  <c r="X10" i="17" s="1"/>
  <c r="S17" i="17"/>
  <c r="W17" i="17" s="1"/>
  <c r="D29" i="17"/>
  <c r="S29" i="17"/>
  <c r="W29" i="17" s="1"/>
  <c r="S16" i="17"/>
  <c r="W16" i="17" s="1"/>
  <c r="D16" i="17"/>
  <c r="T8" i="1"/>
  <c r="U8" i="1" s="1"/>
  <c r="X100" i="17"/>
  <c r="W30" i="17"/>
  <c r="S11" i="17"/>
  <c r="W11" i="17" s="1"/>
  <c r="D11" i="17"/>
  <c r="AB27" i="17"/>
  <c r="W27" i="17"/>
  <c r="C107" i="17"/>
  <c r="C88" i="17"/>
  <c r="C70" i="17"/>
  <c r="C34" i="17"/>
  <c r="C16" i="17"/>
  <c r="AH9" i="11"/>
  <c r="AH9" i="15"/>
  <c r="AH9" i="13"/>
  <c r="AH9" i="12"/>
  <c r="AH10" i="12"/>
  <c r="AH10" i="11"/>
  <c r="AH10" i="13"/>
  <c r="AH10" i="15"/>
  <c r="AD12" i="1"/>
  <c r="AE11" i="1"/>
  <c r="AF11" i="1" s="1"/>
  <c r="S8" i="12"/>
  <c r="T8" i="12" s="1"/>
  <c r="T15" i="15"/>
  <c r="T9" i="15"/>
  <c r="T12" i="15"/>
  <c r="T7" i="15"/>
  <c r="V7" i="15" s="1"/>
  <c r="T10" i="15"/>
  <c r="T11" i="15"/>
  <c r="T13" i="15"/>
  <c r="T8" i="15"/>
  <c r="T14" i="15"/>
  <c r="T13" i="13"/>
  <c r="D10" i="13"/>
  <c r="T12" i="13"/>
  <c r="T15" i="13"/>
  <c r="T8" i="13"/>
  <c r="T11" i="13"/>
  <c r="T7" i="13"/>
  <c r="T9" i="13"/>
  <c r="D14" i="13"/>
  <c r="T9" i="12"/>
  <c r="T14" i="12"/>
  <c r="T11" i="12"/>
  <c r="T15" i="12"/>
  <c r="T12" i="12"/>
  <c r="T13" i="12"/>
  <c r="D10" i="12"/>
  <c r="D10" i="11"/>
  <c r="T13" i="11"/>
  <c r="X13" i="11" s="1"/>
  <c r="T12" i="11"/>
  <c r="X12" i="11" s="1"/>
  <c r="T11" i="11"/>
  <c r="X11" i="11" s="1"/>
  <c r="T14" i="11"/>
  <c r="X14" i="11" s="1"/>
  <c r="T9" i="11"/>
  <c r="X9" i="11" s="1"/>
  <c r="T15" i="11"/>
  <c r="X15" i="11" s="1"/>
  <c r="AB7" i="15"/>
  <c r="AB7" i="13"/>
  <c r="AB7" i="12"/>
  <c r="V7" i="12"/>
  <c r="C12" i="15"/>
  <c r="C12" i="13"/>
  <c r="C11" i="12"/>
  <c r="C11" i="11"/>
  <c r="O14" i="15" l="1"/>
  <c r="O14" i="11"/>
  <c r="O14" i="12"/>
  <c r="O14" i="13"/>
  <c r="Q15" i="1"/>
  <c r="O53" i="17"/>
  <c r="AG13" i="17"/>
  <c r="AG85" i="17"/>
  <c r="AG67" i="17"/>
  <c r="AG31" i="17"/>
  <c r="AG49" i="17"/>
  <c r="AG103" i="17"/>
  <c r="AC99" i="17"/>
  <c r="AD99" i="17" s="1"/>
  <c r="AF99" i="17" s="1"/>
  <c r="AH99" i="17"/>
  <c r="Y46" i="17"/>
  <c r="X47" i="17"/>
  <c r="AC45" i="17"/>
  <c r="AD45" i="17" s="1"/>
  <c r="AF45" i="17" s="1"/>
  <c r="AH45" i="17"/>
  <c r="AC63" i="17"/>
  <c r="AD63" i="17" s="1"/>
  <c r="AF63" i="17" s="1"/>
  <c r="AH63" i="17"/>
  <c r="C53" i="17"/>
  <c r="T9" i="1"/>
  <c r="T10" i="1" s="1"/>
  <c r="T11" i="1" s="1"/>
  <c r="T12" i="1" s="1"/>
  <c r="T13" i="1" s="1"/>
  <c r="T14" i="1" s="1"/>
  <c r="T15" i="1" s="1"/>
  <c r="U15" i="1" s="1"/>
  <c r="Y28" i="17"/>
  <c r="E28" i="17" s="1"/>
  <c r="X29" i="17"/>
  <c r="Y64" i="17"/>
  <c r="X65" i="17"/>
  <c r="AC27" i="17"/>
  <c r="AD27" i="17" s="1"/>
  <c r="AF27" i="17" s="1"/>
  <c r="AH27" i="17"/>
  <c r="Y82" i="17"/>
  <c r="X83" i="17"/>
  <c r="Y100" i="17"/>
  <c r="X101" i="17"/>
  <c r="Y10" i="17"/>
  <c r="E10" i="17" s="1"/>
  <c r="F10" i="17" s="1"/>
  <c r="X11" i="17"/>
  <c r="C89" i="17"/>
  <c r="C71" i="17"/>
  <c r="C35" i="17"/>
  <c r="C17" i="17"/>
  <c r="D8" i="1"/>
  <c r="E8" i="1"/>
  <c r="F8" i="1" s="1"/>
  <c r="AH11" i="13"/>
  <c r="AH11" i="12"/>
  <c r="AH11" i="11"/>
  <c r="AH11" i="15"/>
  <c r="AD13" i="1"/>
  <c r="AE12" i="1"/>
  <c r="AF12" i="1" s="1"/>
  <c r="T8" i="11"/>
  <c r="X8" i="11" s="1"/>
  <c r="D8" i="11"/>
  <c r="D9" i="12"/>
  <c r="D12" i="12"/>
  <c r="D11" i="12"/>
  <c r="D13" i="12"/>
  <c r="D15" i="12"/>
  <c r="D14" i="12"/>
  <c r="X7" i="15"/>
  <c r="AC7" i="15"/>
  <c r="AI7" i="15" s="1"/>
  <c r="D8" i="15"/>
  <c r="D11" i="15"/>
  <c r="D9" i="15"/>
  <c r="D14" i="15"/>
  <c r="D13" i="15"/>
  <c r="D10" i="15"/>
  <c r="D12" i="15"/>
  <c r="D15" i="15"/>
  <c r="X7" i="13"/>
  <c r="V7" i="13"/>
  <c r="AC7" i="13" s="1"/>
  <c r="AI7" i="13" s="1"/>
  <c r="D8" i="13"/>
  <c r="D12" i="13"/>
  <c r="D9" i="13"/>
  <c r="D11" i="13"/>
  <c r="D15" i="13"/>
  <c r="D13" i="13"/>
  <c r="D13" i="11"/>
  <c r="D11" i="11"/>
  <c r="D9" i="11"/>
  <c r="D15" i="11"/>
  <c r="D14" i="11"/>
  <c r="D12" i="11"/>
  <c r="T7" i="11"/>
  <c r="X7" i="11" s="1"/>
  <c r="D8" i="12"/>
  <c r="X8" i="12"/>
  <c r="Y8" i="12" s="1"/>
  <c r="Z8" i="12" s="1"/>
  <c r="AA8" i="12" s="1"/>
  <c r="X8" i="13"/>
  <c r="Y8" i="13" s="1"/>
  <c r="X8" i="15"/>
  <c r="Y8" i="15" s="1"/>
  <c r="Z8" i="15" s="1"/>
  <c r="AA8" i="15" s="1"/>
  <c r="AC7" i="12"/>
  <c r="AI7" i="12" s="1"/>
  <c r="C13" i="15"/>
  <c r="C13" i="13"/>
  <c r="C12" i="12"/>
  <c r="Y7" i="1"/>
  <c r="Z7" i="1" s="1"/>
  <c r="AB7" i="1" s="1"/>
  <c r="C11" i="1"/>
  <c r="C12" i="11"/>
  <c r="O15" i="11" l="1"/>
  <c r="O15" i="12"/>
  <c r="O15" i="13"/>
  <c r="O15" i="15"/>
  <c r="AG14" i="17"/>
  <c r="AG104" i="17"/>
  <c r="AG32" i="17"/>
  <c r="AG86" i="17"/>
  <c r="AG68" i="17"/>
  <c r="AG50" i="17"/>
  <c r="Y47" i="17"/>
  <c r="X48" i="17"/>
  <c r="E46" i="17"/>
  <c r="Z46" i="17"/>
  <c r="F28" i="17"/>
  <c r="T28" i="17"/>
  <c r="U10" i="1"/>
  <c r="V10" i="1" s="1"/>
  <c r="U9" i="1"/>
  <c r="D9" i="1" s="1"/>
  <c r="Z10" i="17"/>
  <c r="Y101" i="17"/>
  <c r="X102" i="17"/>
  <c r="Y65" i="17"/>
  <c r="X66" i="17"/>
  <c r="Z100" i="17"/>
  <c r="E100" i="17"/>
  <c r="Z64" i="17"/>
  <c r="E64" i="17"/>
  <c r="Y11" i="17"/>
  <c r="X12" i="17"/>
  <c r="Y83" i="17"/>
  <c r="X84" i="17"/>
  <c r="Y29" i="17"/>
  <c r="X30" i="17"/>
  <c r="Z82" i="17"/>
  <c r="E82" i="17"/>
  <c r="Z28" i="17"/>
  <c r="Y8" i="11"/>
  <c r="Z8" i="11" s="1"/>
  <c r="AA8" i="11" s="1"/>
  <c r="AH12" i="15"/>
  <c r="AH12" i="13"/>
  <c r="AH12" i="12"/>
  <c r="AH12" i="11"/>
  <c r="AD14" i="1"/>
  <c r="AE13" i="1"/>
  <c r="AF13" i="1" s="1"/>
  <c r="V8" i="1"/>
  <c r="V7" i="11"/>
  <c r="AC7" i="11" s="1"/>
  <c r="AD7" i="13"/>
  <c r="AD7" i="15"/>
  <c r="E8" i="15"/>
  <c r="U8" i="15" s="1"/>
  <c r="AD7" i="12"/>
  <c r="Z8" i="13"/>
  <c r="AA8" i="13" s="1"/>
  <c r="X9" i="12"/>
  <c r="Y9" i="12" s="1"/>
  <c r="Z9" i="12" s="1"/>
  <c r="AA9" i="12" s="1"/>
  <c r="E8" i="12"/>
  <c r="F8" i="12" s="1"/>
  <c r="AB8" i="12" s="1"/>
  <c r="X9" i="15"/>
  <c r="Y9" i="15" s="1"/>
  <c r="Z9" i="15" s="1"/>
  <c r="AA9" i="15" s="1"/>
  <c r="X9" i="13"/>
  <c r="Y9" i="13" s="1"/>
  <c r="Z9" i="13" s="1"/>
  <c r="AA9" i="13" s="1"/>
  <c r="C14" i="15"/>
  <c r="C14" i="13"/>
  <c r="C13" i="12"/>
  <c r="C12" i="1"/>
  <c r="C13" i="1" s="1"/>
  <c r="C13" i="11"/>
  <c r="T46" i="17" l="1"/>
  <c r="F46" i="17"/>
  <c r="AG15" i="17"/>
  <c r="AG105" i="17"/>
  <c r="AG87" i="17"/>
  <c r="AG69" i="17"/>
  <c r="AG51" i="17"/>
  <c r="AG33" i="17"/>
  <c r="X49" i="17"/>
  <c r="Y48" i="17"/>
  <c r="E47" i="17"/>
  <c r="Z47" i="17"/>
  <c r="D10" i="1"/>
  <c r="V9" i="1"/>
  <c r="E9" i="1"/>
  <c r="F9" i="1" s="1"/>
  <c r="E10" i="1"/>
  <c r="Y12" i="17"/>
  <c r="X13" i="17"/>
  <c r="Y66" i="17"/>
  <c r="X67" i="17"/>
  <c r="Z11" i="17"/>
  <c r="E11" i="17"/>
  <c r="E65" i="17"/>
  <c r="Z65" i="17"/>
  <c r="F82" i="17"/>
  <c r="T82" i="17"/>
  <c r="F64" i="17"/>
  <c r="T64" i="17"/>
  <c r="Y102" i="17"/>
  <c r="X103" i="17"/>
  <c r="Z101" i="17"/>
  <c r="E101" i="17"/>
  <c r="X31" i="17"/>
  <c r="Y30" i="17"/>
  <c r="E30" i="17" s="1"/>
  <c r="F100" i="17"/>
  <c r="T100" i="17"/>
  <c r="Z29" i="17"/>
  <c r="E29" i="17"/>
  <c r="X85" i="17"/>
  <c r="Y84" i="17"/>
  <c r="Z83" i="17"/>
  <c r="E83" i="17"/>
  <c r="T10" i="17"/>
  <c r="U10" i="17" s="1"/>
  <c r="Y9" i="11"/>
  <c r="AI7" i="11"/>
  <c r="AD7" i="11"/>
  <c r="AE7" i="11" s="1"/>
  <c r="AG7" i="11" s="1"/>
  <c r="AH13" i="15"/>
  <c r="AH13" i="13"/>
  <c r="AH13" i="12"/>
  <c r="AH13" i="11"/>
  <c r="AE7" i="15"/>
  <c r="AG7" i="15" s="1"/>
  <c r="AE7" i="13"/>
  <c r="AG7" i="13" s="1"/>
  <c r="AE7" i="12"/>
  <c r="AG7" i="12" s="1"/>
  <c r="AD15" i="1"/>
  <c r="AE14" i="1"/>
  <c r="AF14" i="1" s="1"/>
  <c r="W9" i="1"/>
  <c r="W8" i="1"/>
  <c r="X8" i="1" s="1"/>
  <c r="AG8" i="1" s="1"/>
  <c r="E9" i="12"/>
  <c r="F9" i="12" s="1"/>
  <c r="E8" i="11"/>
  <c r="F8" i="15"/>
  <c r="AB8" i="15" s="1"/>
  <c r="U8" i="12"/>
  <c r="V8" i="12" s="1"/>
  <c r="AC8" i="12" s="1"/>
  <c r="AI8" i="12" s="1"/>
  <c r="E9" i="13"/>
  <c r="E9" i="15"/>
  <c r="Y10" i="13"/>
  <c r="Z10" i="13" s="1"/>
  <c r="AA10" i="13" s="1"/>
  <c r="E8" i="13"/>
  <c r="X10" i="12"/>
  <c r="Y10" i="12" s="1"/>
  <c r="Z10" i="12" s="1"/>
  <c r="AA10" i="12" s="1"/>
  <c r="X10" i="15"/>
  <c r="Y10" i="15" s="1"/>
  <c r="Z10" i="15" s="1"/>
  <c r="AA10" i="15" s="1"/>
  <c r="C15" i="15"/>
  <c r="V8" i="15"/>
  <c r="C15" i="13"/>
  <c r="C14" i="12"/>
  <c r="C14" i="1"/>
  <c r="C14" i="11"/>
  <c r="U12" i="1"/>
  <c r="V12" i="1" s="1"/>
  <c r="U11" i="1"/>
  <c r="V11" i="1" s="1"/>
  <c r="E48" i="17" l="1"/>
  <c r="Z48" i="17"/>
  <c r="F47" i="17"/>
  <c r="AA46" i="17"/>
  <c r="AG16" i="17"/>
  <c r="AG52" i="17"/>
  <c r="AG106" i="17"/>
  <c r="AG88" i="17"/>
  <c r="AG70" i="17"/>
  <c r="AG34" i="17"/>
  <c r="X50" i="17"/>
  <c r="Y49" i="17"/>
  <c r="T47" i="17"/>
  <c r="U46" i="17"/>
  <c r="Z102" i="17"/>
  <c r="E102" i="17"/>
  <c r="T101" i="17"/>
  <c r="U100" i="17"/>
  <c r="T65" i="17"/>
  <c r="U64" i="17"/>
  <c r="AA28" i="17"/>
  <c r="F29" i="17"/>
  <c r="AA100" i="17"/>
  <c r="F101" i="17"/>
  <c r="T29" i="17"/>
  <c r="U29" i="17" s="1"/>
  <c r="U28" i="17"/>
  <c r="X104" i="17"/>
  <c r="Y103" i="17"/>
  <c r="AA64" i="17"/>
  <c r="F65" i="17"/>
  <c r="T11" i="17"/>
  <c r="Z84" i="17"/>
  <c r="E84" i="17"/>
  <c r="Z30" i="17"/>
  <c r="U82" i="17"/>
  <c r="T83" i="17"/>
  <c r="X68" i="17"/>
  <c r="Y67" i="17"/>
  <c r="F11" i="17"/>
  <c r="AA10" i="17"/>
  <c r="X86" i="17"/>
  <c r="Y85" i="17"/>
  <c r="Y31" i="17"/>
  <c r="X32" i="17"/>
  <c r="AA82" i="17"/>
  <c r="F83" i="17"/>
  <c r="E66" i="17"/>
  <c r="Z66" i="17"/>
  <c r="X14" i="17"/>
  <c r="Y13" i="17"/>
  <c r="Z12" i="17"/>
  <c r="E12" i="17"/>
  <c r="U8" i="11"/>
  <c r="V8" i="11" s="1"/>
  <c r="Y10" i="11"/>
  <c r="Y11" i="11" s="1"/>
  <c r="Y12" i="11" s="1"/>
  <c r="Y13" i="11" s="1"/>
  <c r="Y14" i="11" s="1"/>
  <c r="Y15" i="11" s="1"/>
  <c r="Z9" i="11"/>
  <c r="AA9" i="11" s="1"/>
  <c r="AH14" i="15"/>
  <c r="AH14" i="13"/>
  <c r="AH14" i="12"/>
  <c r="AH14" i="11"/>
  <c r="AE15" i="1"/>
  <c r="AF15" i="1" s="1"/>
  <c r="D12" i="1"/>
  <c r="AD8" i="12"/>
  <c r="F10" i="1"/>
  <c r="W10" i="1" s="1"/>
  <c r="X10" i="1" s="1"/>
  <c r="AG10" i="1" s="1"/>
  <c r="F8" i="11"/>
  <c r="AB8" i="11" s="1"/>
  <c r="F9" i="15"/>
  <c r="AB9" i="15" s="1"/>
  <c r="E10" i="12"/>
  <c r="F10" i="12" s="1"/>
  <c r="U9" i="12"/>
  <c r="V9" i="12" s="1"/>
  <c r="U9" i="15"/>
  <c r="V9" i="15" s="1"/>
  <c r="E10" i="13"/>
  <c r="E10" i="15"/>
  <c r="X11" i="12"/>
  <c r="Y11" i="12" s="1"/>
  <c r="Z11" i="12" s="1"/>
  <c r="AA11" i="12" s="1"/>
  <c r="X11" i="13"/>
  <c r="Y11" i="13" s="1"/>
  <c r="Z11" i="13" s="1"/>
  <c r="AA11" i="13" s="1"/>
  <c r="F8" i="13"/>
  <c r="U8" i="13"/>
  <c r="X11" i="15"/>
  <c r="Y11" i="15" s="1"/>
  <c r="Z11" i="15" s="1"/>
  <c r="AA11" i="15" s="1"/>
  <c r="AC8" i="15"/>
  <c r="AI8" i="15" s="1"/>
  <c r="AB9" i="12"/>
  <c r="C15" i="12"/>
  <c r="Y8" i="1"/>
  <c r="Z8" i="1" s="1"/>
  <c r="AB8" i="1" s="1"/>
  <c r="E11" i="1"/>
  <c r="D11" i="1"/>
  <c r="C15" i="1"/>
  <c r="C15" i="11"/>
  <c r="X9" i="1"/>
  <c r="AG9" i="1" s="1"/>
  <c r="U13" i="1"/>
  <c r="V13" i="1" s="1"/>
  <c r="E12" i="1"/>
  <c r="AB46" i="17" l="1"/>
  <c r="U47" i="17"/>
  <c r="T48" i="17"/>
  <c r="E49" i="17"/>
  <c r="Z49" i="17"/>
  <c r="AG17" i="17"/>
  <c r="AG53" i="17"/>
  <c r="AG107" i="17"/>
  <c r="AG89" i="17"/>
  <c r="AG71" i="17"/>
  <c r="AG35" i="17"/>
  <c r="Y50" i="17"/>
  <c r="X51" i="17"/>
  <c r="AA47" i="17"/>
  <c r="F48" i="17"/>
  <c r="AB100" i="17"/>
  <c r="AC100" i="17" s="1"/>
  <c r="AD100" i="17" s="1"/>
  <c r="AF100" i="17" s="1"/>
  <c r="AB28" i="17"/>
  <c r="AH28" i="17" s="1"/>
  <c r="AB64" i="17"/>
  <c r="AH64" i="17" s="1"/>
  <c r="E103" i="17"/>
  <c r="Z103" i="17"/>
  <c r="AA83" i="17"/>
  <c r="F84" i="17"/>
  <c r="AA11" i="17"/>
  <c r="F12" i="17"/>
  <c r="T30" i="17"/>
  <c r="U101" i="17"/>
  <c r="T102" i="17"/>
  <c r="X105" i="17"/>
  <c r="Y104" i="17"/>
  <c r="E13" i="17"/>
  <c r="Z13" i="17"/>
  <c r="Y32" i="17"/>
  <c r="E32" i="17" s="1"/>
  <c r="X33" i="17"/>
  <c r="Z67" i="17"/>
  <c r="E67" i="17"/>
  <c r="U11" i="17"/>
  <c r="T12" i="17"/>
  <c r="F102" i="17"/>
  <c r="AA101" i="17"/>
  <c r="Y14" i="17"/>
  <c r="X15" i="17"/>
  <c r="Z31" i="17"/>
  <c r="E31" i="17"/>
  <c r="X69" i="17"/>
  <c r="Y68" i="17"/>
  <c r="AB10" i="17"/>
  <c r="U65" i="17"/>
  <c r="T66" i="17"/>
  <c r="E85" i="17"/>
  <c r="Z85" i="17"/>
  <c r="T84" i="17"/>
  <c r="U83" i="17"/>
  <c r="AA65" i="17"/>
  <c r="F66" i="17"/>
  <c r="F30" i="17"/>
  <c r="AA29" i="17"/>
  <c r="Y86" i="17"/>
  <c r="X87" i="17"/>
  <c r="AB82" i="17"/>
  <c r="E9" i="11"/>
  <c r="F9" i="11" s="1"/>
  <c r="AB9" i="11" s="1"/>
  <c r="Z10" i="11"/>
  <c r="AA10" i="11" s="1"/>
  <c r="AH15" i="15"/>
  <c r="AH15" i="13"/>
  <c r="AH15" i="12"/>
  <c r="AH15" i="11"/>
  <c r="D13" i="1"/>
  <c r="E11" i="13"/>
  <c r="E11" i="12"/>
  <c r="F11" i="12" s="1"/>
  <c r="F11" i="1"/>
  <c r="W11" i="1" s="1"/>
  <c r="X11" i="1" s="1"/>
  <c r="AG11" i="1" s="1"/>
  <c r="AC8" i="11"/>
  <c r="AI8" i="11" s="1"/>
  <c r="Z11" i="11"/>
  <c r="AA11" i="11" s="1"/>
  <c r="F10" i="15"/>
  <c r="AB10" i="15" s="1"/>
  <c r="U10" i="12"/>
  <c r="U10" i="15"/>
  <c r="V10" i="15" s="1"/>
  <c r="AC9" i="12"/>
  <c r="AI9" i="12" s="1"/>
  <c r="AC9" i="15"/>
  <c r="AI9" i="15" s="1"/>
  <c r="E11" i="15"/>
  <c r="X12" i="15"/>
  <c r="Y12" i="15" s="1"/>
  <c r="Z12" i="15" s="1"/>
  <c r="AA12" i="15" s="1"/>
  <c r="X12" i="13"/>
  <c r="Y12" i="13" s="1"/>
  <c r="Z12" i="13" s="1"/>
  <c r="AA12" i="13" s="1"/>
  <c r="V8" i="13"/>
  <c r="U9" i="13"/>
  <c r="AB8" i="13"/>
  <c r="F9" i="13"/>
  <c r="X12" i="12"/>
  <c r="Y12" i="12" s="1"/>
  <c r="Z12" i="12" s="1"/>
  <c r="AA12" i="12" s="1"/>
  <c r="AD8" i="15"/>
  <c r="AB10" i="12"/>
  <c r="AE8" i="12"/>
  <c r="AG8" i="12" s="1"/>
  <c r="Y10" i="1"/>
  <c r="Y9" i="1"/>
  <c r="Z9" i="1" s="1"/>
  <c r="AB9" i="1" s="1"/>
  <c r="E13" i="1"/>
  <c r="V15" i="1"/>
  <c r="AA48" i="17" l="1"/>
  <c r="F49" i="17"/>
  <c r="X52" i="17"/>
  <c r="Y51" i="17"/>
  <c r="AB47" i="17"/>
  <c r="Z50" i="17"/>
  <c r="E50" i="17"/>
  <c r="T49" i="17"/>
  <c r="U48" i="17"/>
  <c r="AB48" i="17" s="1"/>
  <c r="AC46" i="17"/>
  <c r="AD46" i="17" s="1"/>
  <c r="AF46" i="17" s="1"/>
  <c r="AH46" i="17"/>
  <c r="AH100" i="17"/>
  <c r="AB65" i="17"/>
  <c r="AH65" i="17" s="1"/>
  <c r="AC64" i="17"/>
  <c r="AD64" i="17" s="1"/>
  <c r="AF64" i="17" s="1"/>
  <c r="AC28" i="17"/>
  <c r="AD28" i="17" s="1"/>
  <c r="AF28" i="17" s="1"/>
  <c r="AB11" i="17"/>
  <c r="AC11" i="17" s="1"/>
  <c r="AD11" i="17" s="1"/>
  <c r="AF11" i="17" s="1"/>
  <c r="AB101" i="17"/>
  <c r="AH101" i="17" s="1"/>
  <c r="Y87" i="17"/>
  <c r="X88" i="17"/>
  <c r="AB83" i="17"/>
  <c r="E68" i="17"/>
  <c r="Z68" i="17"/>
  <c r="U12" i="17"/>
  <c r="T13" i="17"/>
  <c r="Z104" i="17"/>
  <c r="E104" i="17"/>
  <c r="F13" i="17"/>
  <c r="AA12" i="17"/>
  <c r="AA84" i="17"/>
  <c r="F85" i="17"/>
  <c r="U102" i="17"/>
  <c r="T103" i="17"/>
  <c r="E86" i="17"/>
  <c r="Z86" i="17"/>
  <c r="Y69" i="17"/>
  <c r="X70" i="17"/>
  <c r="X16" i="17"/>
  <c r="Y15" i="17"/>
  <c r="Y33" i="17"/>
  <c r="X34" i="17"/>
  <c r="U30" i="17"/>
  <c r="T31" i="17"/>
  <c r="T85" i="17"/>
  <c r="U84" i="17"/>
  <c r="AA30" i="17"/>
  <c r="F31" i="17"/>
  <c r="U66" i="17"/>
  <c r="T67" i="17"/>
  <c r="Z14" i="17"/>
  <c r="E14" i="17"/>
  <c r="Z32" i="17"/>
  <c r="AB29" i="17"/>
  <c r="Y105" i="17"/>
  <c r="X106" i="17"/>
  <c r="F67" i="17"/>
  <c r="AA66" i="17"/>
  <c r="AC82" i="17"/>
  <c r="AD82" i="17" s="1"/>
  <c r="AF82" i="17" s="1"/>
  <c r="AH82" i="17"/>
  <c r="AC10" i="17"/>
  <c r="AD10" i="17" s="1"/>
  <c r="AF10" i="17" s="1"/>
  <c r="AH10" i="17"/>
  <c r="AA102" i="17"/>
  <c r="F103" i="17"/>
  <c r="U9" i="11"/>
  <c r="V9" i="11" s="1"/>
  <c r="AC9" i="11" s="1"/>
  <c r="AI9" i="11" s="1"/>
  <c r="E10" i="11"/>
  <c r="F10" i="11" s="1"/>
  <c r="AB10" i="11" s="1"/>
  <c r="AE8" i="15"/>
  <c r="AG8" i="15" s="1"/>
  <c r="F12" i="1"/>
  <c r="W12" i="1" s="1"/>
  <c r="X12" i="1" s="1"/>
  <c r="AG12" i="1" s="1"/>
  <c r="U11" i="12"/>
  <c r="V11" i="12" s="1"/>
  <c r="E12" i="15"/>
  <c r="E12" i="13"/>
  <c r="E11" i="11"/>
  <c r="Z10" i="1"/>
  <c r="AB10" i="1" s="1"/>
  <c r="AD8" i="11"/>
  <c r="AE8" i="11" s="1"/>
  <c r="AG8" i="11" s="1"/>
  <c r="AD9" i="12"/>
  <c r="Z12" i="11"/>
  <c r="AA12" i="11" s="1"/>
  <c r="U11" i="15"/>
  <c r="V11" i="15" s="1"/>
  <c r="V10" i="12"/>
  <c r="AC10" i="12" s="1"/>
  <c r="AI10" i="12" s="1"/>
  <c r="AD9" i="15"/>
  <c r="AC10" i="15"/>
  <c r="AI10" i="15" s="1"/>
  <c r="E12" i="12"/>
  <c r="F12" i="12" s="1"/>
  <c r="F11" i="15"/>
  <c r="AB11" i="15" s="1"/>
  <c r="AB9" i="13"/>
  <c r="F10" i="13"/>
  <c r="X13" i="12"/>
  <c r="Y13" i="12" s="1"/>
  <c r="Z13" i="12" s="1"/>
  <c r="AA13" i="12" s="1"/>
  <c r="V9" i="13"/>
  <c r="U10" i="13"/>
  <c r="X13" i="15"/>
  <c r="Y13" i="15" s="1"/>
  <c r="Z13" i="15" s="1"/>
  <c r="AA13" i="15" s="1"/>
  <c r="X13" i="13"/>
  <c r="Y13" i="13" s="1"/>
  <c r="Z13" i="13" s="1"/>
  <c r="AA13" i="13" s="1"/>
  <c r="AC8" i="13"/>
  <c r="AI8" i="13" s="1"/>
  <c r="AB11" i="12"/>
  <c r="Y11" i="1"/>
  <c r="Z11" i="1" s="1"/>
  <c r="AB11" i="1" s="1"/>
  <c r="U14" i="1"/>
  <c r="V14" i="1" s="1"/>
  <c r="AH11" i="17" l="1"/>
  <c r="T50" i="17"/>
  <c r="U49" i="17"/>
  <c r="AC47" i="17"/>
  <c r="AD47" i="17" s="1"/>
  <c r="AF47" i="17" s="1"/>
  <c r="AH47" i="17"/>
  <c r="E51" i="17"/>
  <c r="Z51" i="17"/>
  <c r="X53" i="17"/>
  <c r="Y53" i="17" s="1"/>
  <c r="Y52" i="17"/>
  <c r="AA49" i="17"/>
  <c r="F50" i="17"/>
  <c r="AC48" i="17"/>
  <c r="AD48" i="17" s="1"/>
  <c r="AF48" i="17" s="1"/>
  <c r="AH48" i="17"/>
  <c r="AC65" i="17"/>
  <c r="AD65" i="17" s="1"/>
  <c r="AF65" i="17" s="1"/>
  <c r="AC101" i="17"/>
  <c r="AD101" i="17" s="1"/>
  <c r="AF101" i="17" s="1"/>
  <c r="AB84" i="17"/>
  <c r="AC84" i="17" s="1"/>
  <c r="AD84" i="17" s="1"/>
  <c r="AF84" i="17" s="1"/>
  <c r="AB12" i="17"/>
  <c r="AC12" i="17" s="1"/>
  <c r="AD12" i="17" s="1"/>
  <c r="AF12" i="17" s="1"/>
  <c r="AC29" i="17"/>
  <c r="AD29" i="17" s="1"/>
  <c r="AF29" i="17" s="1"/>
  <c r="AH29" i="17"/>
  <c r="X17" i="17"/>
  <c r="Y17" i="17" s="1"/>
  <c r="Y16" i="17"/>
  <c r="E69" i="17"/>
  <c r="Z69" i="17"/>
  <c r="F104" i="17"/>
  <c r="AA103" i="17"/>
  <c r="U85" i="17"/>
  <c r="T86" i="17"/>
  <c r="U13" i="17"/>
  <c r="T14" i="17"/>
  <c r="T32" i="17"/>
  <c r="U31" i="17"/>
  <c r="F86" i="17"/>
  <c r="AA85" i="17"/>
  <c r="AB30" i="17"/>
  <c r="AA67" i="17"/>
  <c r="F68" i="17"/>
  <c r="U67" i="17"/>
  <c r="T68" i="17"/>
  <c r="Y34" i="17"/>
  <c r="X35" i="17"/>
  <c r="Y35" i="17" s="1"/>
  <c r="U103" i="17"/>
  <c r="T104" i="17"/>
  <c r="AC83" i="17"/>
  <c r="AD83" i="17" s="1"/>
  <c r="AF83" i="17" s="1"/>
  <c r="AH83" i="17"/>
  <c r="Y106" i="17"/>
  <c r="X107" i="17"/>
  <c r="Y107" i="17" s="1"/>
  <c r="AB66" i="17"/>
  <c r="E33" i="17"/>
  <c r="Z33" i="17"/>
  <c r="AB102" i="17"/>
  <c r="F14" i="17"/>
  <c r="AA13" i="17"/>
  <c r="X89" i="17"/>
  <c r="Y89" i="17" s="1"/>
  <c r="Y88" i="17"/>
  <c r="E105" i="17"/>
  <c r="Z105" i="17"/>
  <c r="F32" i="17"/>
  <c r="AA31" i="17"/>
  <c r="Z15" i="17"/>
  <c r="E15" i="17"/>
  <c r="Y70" i="17"/>
  <c r="X71" i="17"/>
  <c r="Y71" i="17" s="1"/>
  <c r="E87" i="17"/>
  <c r="Z87" i="17"/>
  <c r="U10" i="11"/>
  <c r="V10" i="11" s="1"/>
  <c r="AC10" i="11" s="1"/>
  <c r="AI10" i="11" s="1"/>
  <c r="AE9" i="15"/>
  <c r="AE9" i="12"/>
  <c r="AG9" i="12" s="1"/>
  <c r="F13" i="1"/>
  <c r="W13" i="1" s="1"/>
  <c r="E13" i="13"/>
  <c r="E13" i="12"/>
  <c r="F13" i="12" s="1"/>
  <c r="F11" i="11"/>
  <c r="AB11" i="11" s="1"/>
  <c r="AD9" i="11"/>
  <c r="AE9" i="11" s="1"/>
  <c r="AG9" i="11" s="1"/>
  <c r="U12" i="15"/>
  <c r="V12" i="15" s="1"/>
  <c r="E12" i="11"/>
  <c r="Z13" i="11"/>
  <c r="AA13" i="11" s="1"/>
  <c r="AC9" i="13"/>
  <c r="AI9" i="13" s="1"/>
  <c r="AD10" i="15"/>
  <c r="U12" i="12"/>
  <c r="V12" i="12" s="1"/>
  <c r="F12" i="15"/>
  <c r="E13" i="15"/>
  <c r="AC11" i="12"/>
  <c r="AI11" i="12" s="1"/>
  <c r="X15" i="12"/>
  <c r="X14" i="12"/>
  <c r="Y14" i="12" s="1"/>
  <c r="V10" i="13"/>
  <c r="U11" i="13"/>
  <c r="F11" i="13"/>
  <c r="AB10" i="13"/>
  <c r="X14" i="15"/>
  <c r="Y14" i="15" s="1"/>
  <c r="X15" i="15"/>
  <c r="AD8" i="13"/>
  <c r="X15" i="13"/>
  <c r="X14" i="13"/>
  <c r="Y14" i="13" s="1"/>
  <c r="AC11" i="15"/>
  <c r="AI11" i="15" s="1"/>
  <c r="AB12" i="12"/>
  <c r="AD10" i="12"/>
  <c r="Y12" i="1"/>
  <c r="Z12" i="1" s="1"/>
  <c r="AB12" i="1" s="1"/>
  <c r="E14" i="1"/>
  <c r="D14" i="1"/>
  <c r="E15" i="1"/>
  <c r="D15" i="1"/>
  <c r="Z52" i="17" l="1"/>
  <c r="E52" i="17"/>
  <c r="E53" i="17"/>
  <c r="Z53" i="17"/>
  <c r="AA50" i="17"/>
  <c r="F51" i="17"/>
  <c r="AB49" i="17"/>
  <c r="T51" i="17"/>
  <c r="U50" i="17"/>
  <c r="AH84" i="17"/>
  <c r="AB103" i="17"/>
  <c r="AH103" i="17" s="1"/>
  <c r="AH12" i="17"/>
  <c r="AB67" i="17"/>
  <c r="AH67" i="17" s="1"/>
  <c r="AC102" i="17"/>
  <c r="AD102" i="17" s="1"/>
  <c r="AF102" i="17" s="1"/>
  <c r="AH102" i="17"/>
  <c r="U86" i="17"/>
  <c r="T87" i="17"/>
  <c r="E16" i="17"/>
  <c r="Z16" i="17"/>
  <c r="F33" i="17"/>
  <c r="AA32" i="17"/>
  <c r="U104" i="17"/>
  <c r="T105" i="17"/>
  <c r="AA68" i="17"/>
  <c r="F69" i="17"/>
  <c r="AB85" i="17"/>
  <c r="E17" i="17"/>
  <c r="Z17" i="17"/>
  <c r="AB31" i="17"/>
  <c r="Z34" i="17"/>
  <c r="E34" i="17"/>
  <c r="AA14" i="17"/>
  <c r="F15" i="17"/>
  <c r="F87" i="17"/>
  <c r="AA86" i="17"/>
  <c r="F105" i="17"/>
  <c r="AA104" i="17"/>
  <c r="E71" i="17"/>
  <c r="Z71" i="17"/>
  <c r="AH66" i="17"/>
  <c r="AC66" i="17"/>
  <c r="AD66" i="17" s="1"/>
  <c r="AF66" i="17" s="1"/>
  <c r="U14" i="17"/>
  <c r="T15" i="17"/>
  <c r="U15" i="17" s="1"/>
  <c r="Z106" i="17"/>
  <c r="E106" i="17"/>
  <c r="U68" i="17"/>
  <c r="T69" i="17"/>
  <c r="U32" i="17"/>
  <c r="T33" i="17"/>
  <c r="Z88" i="17"/>
  <c r="E88" i="17"/>
  <c r="Z70" i="17"/>
  <c r="E70" i="17"/>
  <c r="E89" i="17"/>
  <c r="Z89" i="17"/>
  <c r="Z107" i="17"/>
  <c r="E107" i="17"/>
  <c r="Z35" i="17"/>
  <c r="E35" i="17"/>
  <c r="AH30" i="17"/>
  <c r="AC30" i="17"/>
  <c r="AD30" i="17" s="1"/>
  <c r="AF30" i="17" s="1"/>
  <c r="AB13" i="17"/>
  <c r="U11" i="11"/>
  <c r="V11" i="11" s="1"/>
  <c r="AC11" i="11" s="1"/>
  <c r="AI11" i="11" s="1"/>
  <c r="AG9" i="15"/>
  <c r="AE10" i="15"/>
  <c r="AG10" i="15" s="1"/>
  <c r="AE8" i="13"/>
  <c r="AG8" i="13" s="1"/>
  <c r="AE10" i="12"/>
  <c r="AG10" i="12" s="1"/>
  <c r="F14" i="1"/>
  <c r="W14" i="1" s="1"/>
  <c r="U13" i="15"/>
  <c r="V13" i="15" s="1"/>
  <c r="AD11" i="12"/>
  <c r="AD9" i="13"/>
  <c r="F12" i="11"/>
  <c r="AB12" i="11" s="1"/>
  <c r="E13" i="11"/>
  <c r="U13" i="12"/>
  <c r="V13" i="12" s="1"/>
  <c r="F13" i="15"/>
  <c r="AB13" i="15" s="1"/>
  <c r="AB12" i="15"/>
  <c r="AC12" i="15" s="1"/>
  <c r="AI12" i="15" s="1"/>
  <c r="AC12" i="12"/>
  <c r="AI12" i="12" s="1"/>
  <c r="AC10" i="13"/>
  <c r="AI10" i="13" s="1"/>
  <c r="Y15" i="15"/>
  <c r="Z15" i="15" s="1"/>
  <c r="AA15" i="15" s="1"/>
  <c r="Z14" i="15"/>
  <c r="AA14" i="15" s="1"/>
  <c r="Z14" i="13"/>
  <c r="AA14" i="13" s="1"/>
  <c r="Y15" i="13"/>
  <c r="Z15" i="13" s="1"/>
  <c r="AA15" i="13" s="1"/>
  <c r="Z14" i="12"/>
  <c r="AA14" i="12" s="1"/>
  <c r="Y15" i="12"/>
  <c r="Z15" i="12" s="1"/>
  <c r="AA15" i="12" s="1"/>
  <c r="V11" i="13"/>
  <c r="U12" i="13"/>
  <c r="AB11" i="13"/>
  <c r="F12" i="13"/>
  <c r="AD11" i="15"/>
  <c r="AB13" i="12"/>
  <c r="AD10" i="11"/>
  <c r="AE10" i="11" s="1"/>
  <c r="AG10" i="11" s="1"/>
  <c r="X13" i="1"/>
  <c r="AG13" i="1" s="1"/>
  <c r="AC49" i="17" l="1"/>
  <c r="AD49" i="17" s="1"/>
  <c r="AF49" i="17" s="1"/>
  <c r="AH49" i="17"/>
  <c r="AA51" i="17"/>
  <c r="F52" i="17"/>
  <c r="AB50" i="17"/>
  <c r="U51" i="17"/>
  <c r="T52" i="17"/>
  <c r="AC67" i="17"/>
  <c r="AD67" i="17" s="1"/>
  <c r="AF67" i="17" s="1"/>
  <c r="AC103" i="17"/>
  <c r="AD103" i="17" s="1"/>
  <c r="AF103" i="17" s="1"/>
  <c r="AB104" i="17"/>
  <c r="AC104" i="17" s="1"/>
  <c r="AD104" i="17" s="1"/>
  <c r="AF104" i="17" s="1"/>
  <c r="AB68" i="17"/>
  <c r="AC68" i="17" s="1"/>
  <c r="AD68" i="17" s="1"/>
  <c r="AF68" i="17" s="1"/>
  <c r="AB32" i="17"/>
  <c r="AC32" i="17" s="1"/>
  <c r="AD32" i="17" s="1"/>
  <c r="AF32" i="17" s="1"/>
  <c r="T70" i="17"/>
  <c r="U69" i="17"/>
  <c r="AA105" i="17"/>
  <c r="F106" i="17"/>
  <c r="AA69" i="17"/>
  <c r="F70" i="17"/>
  <c r="AA87" i="17"/>
  <c r="F88" i="17"/>
  <c r="U105" i="17"/>
  <c r="T106" i="17"/>
  <c r="U87" i="17"/>
  <c r="T88" i="17"/>
  <c r="F16" i="17"/>
  <c r="AA15" i="17"/>
  <c r="AB86" i="17"/>
  <c r="AH85" i="17"/>
  <c r="AC85" i="17"/>
  <c r="AD85" i="17" s="1"/>
  <c r="AF85" i="17" s="1"/>
  <c r="T34" i="17"/>
  <c r="U33" i="17"/>
  <c r="T16" i="17"/>
  <c r="T17" i="17" s="1"/>
  <c r="AC13" i="17"/>
  <c r="AD13" i="17" s="1"/>
  <c r="AF13" i="17" s="1"/>
  <c r="AH13" i="17"/>
  <c r="AB14" i="17"/>
  <c r="AC31" i="17"/>
  <c r="AD31" i="17" s="1"/>
  <c r="AF31" i="17" s="1"/>
  <c r="AH31" i="17"/>
  <c r="AA33" i="17"/>
  <c r="F34" i="17"/>
  <c r="U12" i="11"/>
  <c r="V12" i="11" s="1"/>
  <c r="AC12" i="11" s="1"/>
  <c r="AI12" i="11" s="1"/>
  <c r="AE11" i="15"/>
  <c r="AG11" i="15" s="1"/>
  <c r="AE9" i="13"/>
  <c r="AG9" i="13" s="1"/>
  <c r="AE11" i="12"/>
  <c r="AG11" i="12" s="1"/>
  <c r="F15" i="1"/>
  <c r="W15" i="1" s="1"/>
  <c r="X15" i="1" s="1"/>
  <c r="AG15" i="1" s="1"/>
  <c r="AD11" i="11"/>
  <c r="AE11" i="11" s="1"/>
  <c r="AG11" i="11" s="1"/>
  <c r="Z14" i="11"/>
  <c r="AA14" i="11" s="1"/>
  <c r="AD12" i="12"/>
  <c r="AD12" i="15"/>
  <c r="F13" i="11"/>
  <c r="AB13" i="11" s="1"/>
  <c r="Z15" i="11"/>
  <c r="AA15" i="11" s="1"/>
  <c r="AD10" i="13"/>
  <c r="E14" i="13"/>
  <c r="E15" i="13"/>
  <c r="V12" i="13"/>
  <c r="U13" i="13"/>
  <c r="E15" i="12"/>
  <c r="E14" i="15"/>
  <c r="F13" i="13"/>
  <c r="AB12" i="13"/>
  <c r="AC11" i="13"/>
  <c r="AI11" i="13" s="1"/>
  <c r="E14" i="12"/>
  <c r="E15" i="15"/>
  <c r="AC13" i="15"/>
  <c r="AI13" i="15" s="1"/>
  <c r="AC13" i="12"/>
  <c r="AI13" i="12" s="1"/>
  <c r="Y13" i="1"/>
  <c r="Z13" i="1" s="1"/>
  <c r="AB13" i="1" s="1"/>
  <c r="X14" i="1"/>
  <c r="AG14" i="1" s="1"/>
  <c r="F53" i="17" l="1"/>
  <c r="AA53" i="17" s="1"/>
  <c r="AA52" i="17"/>
  <c r="U52" i="17"/>
  <c r="AB52" i="17" s="1"/>
  <c r="T53" i="17"/>
  <c r="U53" i="17" s="1"/>
  <c r="AB53" i="17" s="1"/>
  <c r="AB51" i="17"/>
  <c r="AC50" i="17"/>
  <c r="AD50" i="17" s="1"/>
  <c r="AF50" i="17" s="1"/>
  <c r="AH50" i="17"/>
  <c r="AH68" i="17"/>
  <c r="AH32" i="17"/>
  <c r="AH104" i="17"/>
  <c r="AB33" i="17"/>
  <c r="AC33" i="17" s="1"/>
  <c r="AD33" i="17" s="1"/>
  <c r="AF33" i="17" s="1"/>
  <c r="AB15" i="17"/>
  <c r="AH15" i="17" s="1"/>
  <c r="AB87" i="17"/>
  <c r="AH87" i="17" s="1"/>
  <c r="F71" i="17"/>
  <c r="AA71" i="17" s="1"/>
  <c r="AA70" i="17"/>
  <c r="U88" i="17"/>
  <c r="T89" i="17"/>
  <c r="U89" i="17" s="1"/>
  <c r="F107" i="17"/>
  <c r="AA107" i="17" s="1"/>
  <c r="AA106" i="17"/>
  <c r="AC86" i="17"/>
  <c r="AD86" i="17" s="1"/>
  <c r="AF86" i="17" s="1"/>
  <c r="AH86" i="17"/>
  <c r="AC14" i="17"/>
  <c r="AD14" i="17" s="1"/>
  <c r="AF14" i="17" s="1"/>
  <c r="AH14" i="17"/>
  <c r="U16" i="17"/>
  <c r="U17" i="17"/>
  <c r="U106" i="17"/>
  <c r="T107" i="17"/>
  <c r="U107" i="17" s="1"/>
  <c r="AB105" i="17"/>
  <c r="F35" i="17"/>
  <c r="AA35" i="17" s="1"/>
  <c r="AA34" i="17"/>
  <c r="T35" i="17"/>
  <c r="U35" i="17" s="1"/>
  <c r="U34" i="17"/>
  <c r="F89" i="17"/>
  <c r="AA89" i="17" s="1"/>
  <c r="AA88" i="17"/>
  <c r="AB69" i="17"/>
  <c r="AA16" i="17"/>
  <c r="F17" i="17"/>
  <c r="AA17" i="17" s="1"/>
  <c r="T71" i="17"/>
  <c r="U71" i="17" s="1"/>
  <c r="U70" i="17"/>
  <c r="U13" i="11"/>
  <c r="V13" i="11" s="1"/>
  <c r="AC13" i="11" s="1"/>
  <c r="AI13" i="11" s="1"/>
  <c r="AE12" i="15"/>
  <c r="AG12" i="15" s="1"/>
  <c r="AE10" i="13"/>
  <c r="AG10" i="13" s="1"/>
  <c r="AE12" i="12"/>
  <c r="AG12" i="12" s="1"/>
  <c r="E15" i="11"/>
  <c r="E14" i="11"/>
  <c r="AD12" i="11"/>
  <c r="AE12" i="11" s="1"/>
  <c r="AG12" i="11" s="1"/>
  <c r="AB13" i="13"/>
  <c r="F14" i="13"/>
  <c r="F14" i="12"/>
  <c r="U14" i="12"/>
  <c r="V13" i="13"/>
  <c r="U14" i="13"/>
  <c r="AD11" i="13"/>
  <c r="U14" i="15"/>
  <c r="F14" i="15"/>
  <c r="AC12" i="13"/>
  <c r="AI12" i="13" s="1"/>
  <c r="AD13" i="15"/>
  <c r="AD13" i="12"/>
  <c r="Y14" i="1"/>
  <c r="Z14" i="1" s="1"/>
  <c r="AB14" i="1" s="1"/>
  <c r="AH51" i="17" l="1"/>
  <c r="AC51" i="17"/>
  <c r="AD51" i="17" s="1"/>
  <c r="AF51" i="17" s="1"/>
  <c r="AC52" i="17"/>
  <c r="AD52" i="17" s="1"/>
  <c r="AF52" i="17" s="1"/>
  <c r="AH52" i="17"/>
  <c r="AC53" i="17"/>
  <c r="AD53" i="17" s="1"/>
  <c r="AF53" i="17" s="1"/>
  <c r="AF54" i="17" s="1"/>
  <c r="AH53" i="17"/>
  <c r="AH33" i="17"/>
  <c r="AC15" i="17"/>
  <c r="AD15" i="17" s="1"/>
  <c r="AF15" i="17" s="1"/>
  <c r="AB71" i="17"/>
  <c r="AH71" i="17" s="1"/>
  <c r="AB16" i="17"/>
  <c r="AH16" i="17" s="1"/>
  <c r="AB34" i="17"/>
  <c r="AH34" i="17" s="1"/>
  <c r="AB106" i="17"/>
  <c r="AC106" i="17" s="1"/>
  <c r="AD106" i="17" s="1"/>
  <c r="AF106" i="17" s="1"/>
  <c r="AC87" i="17"/>
  <c r="AD87" i="17" s="1"/>
  <c r="AF87" i="17" s="1"/>
  <c r="AB88" i="17"/>
  <c r="AH88" i="17" s="1"/>
  <c r="AB107" i="17"/>
  <c r="AH107" i="17" s="1"/>
  <c r="AB70" i="17"/>
  <c r="AC70" i="17" s="1"/>
  <c r="AD70" i="17" s="1"/>
  <c r="AF70" i="17" s="1"/>
  <c r="AB35" i="17"/>
  <c r="AH35" i="17" s="1"/>
  <c r="AB17" i="17"/>
  <c r="AH17" i="17" s="1"/>
  <c r="AB89" i="17"/>
  <c r="U14" i="11"/>
  <c r="V14" i="11" s="1"/>
  <c r="AC105" i="17"/>
  <c r="AD105" i="17" s="1"/>
  <c r="AF105" i="17" s="1"/>
  <c r="AH105" i="17"/>
  <c r="AH69" i="17"/>
  <c r="AC69" i="17"/>
  <c r="AD69" i="17" s="1"/>
  <c r="AF69" i="17" s="1"/>
  <c r="AE13" i="15"/>
  <c r="AG13" i="15" s="1"/>
  <c r="AE11" i="13"/>
  <c r="AG11" i="13" s="1"/>
  <c r="AE13" i="12"/>
  <c r="AG13" i="12" s="1"/>
  <c r="F14" i="11"/>
  <c r="AB14" i="11" s="1"/>
  <c r="AD13" i="11"/>
  <c r="AE13" i="11" s="1"/>
  <c r="AG13" i="11" s="1"/>
  <c r="V14" i="13"/>
  <c r="U15" i="13"/>
  <c r="V15" i="13" s="1"/>
  <c r="AD12" i="13"/>
  <c r="AB14" i="12"/>
  <c r="F15" i="12"/>
  <c r="AB15" i="12" s="1"/>
  <c r="F15" i="15"/>
  <c r="AB15" i="15" s="1"/>
  <c r="AB14" i="15"/>
  <c r="V14" i="15"/>
  <c r="U15" i="15"/>
  <c r="V15" i="15" s="1"/>
  <c r="AC13" i="13"/>
  <c r="AI13" i="13" s="1"/>
  <c r="AB14" i="13"/>
  <c r="F15" i="13"/>
  <c r="AB15" i="13" s="1"/>
  <c r="U15" i="12"/>
  <c r="V15" i="12" s="1"/>
  <c r="V14" i="12"/>
  <c r="Y15" i="1"/>
  <c r="Z15" i="1" s="1"/>
  <c r="AB15" i="1" s="1"/>
  <c r="AB16" i="1" s="1"/>
  <c r="AH106" i="17" l="1"/>
  <c r="AC16" i="17"/>
  <c r="AD16" i="17" s="1"/>
  <c r="AF16" i="17" s="1"/>
  <c r="AC88" i="17"/>
  <c r="AD88" i="17" s="1"/>
  <c r="AF88" i="17" s="1"/>
  <c r="AC17" i="17"/>
  <c r="AD17" i="17" s="1"/>
  <c r="AF17" i="17" s="1"/>
  <c r="AC35" i="17"/>
  <c r="AD35" i="17" s="1"/>
  <c r="AF35" i="17" s="1"/>
  <c r="AF36" i="17" s="1"/>
  <c r="AC71" i="17"/>
  <c r="AD71" i="17" s="1"/>
  <c r="AF71" i="17" s="1"/>
  <c r="AF72" i="17" s="1"/>
  <c r="AH70" i="17"/>
  <c r="AC107" i="17"/>
  <c r="AD107" i="17" s="1"/>
  <c r="AF107" i="17" s="1"/>
  <c r="AF108" i="17" s="1"/>
  <c r="U15" i="11"/>
  <c r="V15" i="11" s="1"/>
  <c r="AC34" i="17"/>
  <c r="AD34" i="17" s="1"/>
  <c r="AF34" i="17" s="1"/>
  <c r="AH89" i="17"/>
  <c r="AC89" i="17"/>
  <c r="AD89" i="17" s="1"/>
  <c r="AF89" i="17" s="1"/>
  <c r="AF90" i="17" s="1"/>
  <c r="AE12" i="13"/>
  <c r="AG12" i="13" s="1"/>
  <c r="AC14" i="11"/>
  <c r="AI14" i="11" s="1"/>
  <c r="F15" i="11"/>
  <c r="AB15" i="11" s="1"/>
  <c r="AC15" i="12"/>
  <c r="AI15" i="12" s="1"/>
  <c r="AC15" i="15"/>
  <c r="AI15" i="15" s="1"/>
  <c r="AC15" i="13"/>
  <c r="AI15" i="13" s="1"/>
  <c r="AC14" i="15"/>
  <c r="AI14" i="15" s="1"/>
  <c r="AC14" i="13"/>
  <c r="AI14" i="13" s="1"/>
  <c r="AC14" i="12"/>
  <c r="AI14" i="12" s="1"/>
  <c r="AD13" i="13"/>
  <c r="AF18" i="17" l="1"/>
  <c r="AE13" i="13"/>
  <c r="AG13" i="13" s="1"/>
  <c r="AC15" i="11"/>
  <c r="AI15" i="11" s="1"/>
  <c r="AD14" i="11"/>
  <c r="AE14" i="11" s="1"/>
  <c r="AG14" i="11" s="1"/>
  <c r="AD15" i="15"/>
  <c r="AD15" i="12"/>
  <c r="AD15" i="13"/>
  <c r="AD14" i="15"/>
  <c r="AD14" i="12"/>
  <c r="AD14" i="13"/>
  <c r="AE14" i="15" l="1"/>
  <c r="AG14" i="15" s="1"/>
  <c r="AE15" i="15"/>
  <c r="AG15" i="15" s="1"/>
  <c r="AE15" i="13"/>
  <c r="AG15" i="13" s="1"/>
  <c r="AE14" i="13"/>
  <c r="AG14" i="13" s="1"/>
  <c r="AE14" i="12"/>
  <c r="AG14" i="12" s="1"/>
  <c r="AE15" i="12"/>
  <c r="AG15" i="12" s="1"/>
  <c r="AD15" i="11"/>
  <c r="AE15" i="11" s="1"/>
  <c r="AG15" i="11" s="1"/>
  <c r="AG16" i="11" s="1"/>
  <c r="AG16" i="15" l="1"/>
  <c r="AG16" i="13"/>
  <c r="AG16"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tc={1B382470-484B-4B49-A9B8-6AF7517C55F3}</author>
  </authors>
  <commentList>
    <comment ref="V7" authorId="0" shapeId="0" xr:uid="{00000000-0006-0000-0400-000001000000}">
      <text>
        <t>[Threaded comment]
Your version of Excel allows you to read this threaded comment; however, any edits to it will get removed if the file is opened in a newer version of Excel. Learn more: https://go.microsoft.com/fwlink/?linkid=870924
Comment:
    Son muy bajos porque en la formula estamos elevando a 2.8 un porcentaje muy bajo - mantenerlo asi de momento y consultar con directoras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tc={9D75A446-178A-40D7-8C16-F4E7CACF2955}</author>
  </authors>
  <commentList>
    <comment ref="V7" authorId="0" shapeId="0" xr:uid="{00000000-0006-0000-0500-000001000000}">
      <text>
        <t>[Threaded comment]
Your version of Excel allows you to read this threaded comment; however, any edits to it will get removed if the file is opened in a newer version of Excel. Learn more: https://go.microsoft.com/fwlink/?linkid=870924
Comment:
    Son muy bajos porque en la formula estamos elevando a 2.8 un porcentaje muy bajo - mantenerlo asi de momento y consultar con directoras</t>
      </text>
    </comment>
  </commentList>
</comments>
</file>

<file path=xl/sharedStrings.xml><?xml version="1.0" encoding="utf-8"?>
<sst xmlns="http://schemas.openxmlformats.org/spreadsheetml/2006/main" count="1654" uniqueCount="342">
  <si>
    <t>year</t>
  </si>
  <si>
    <t>symbol</t>
  </si>
  <si>
    <t>value</t>
  </si>
  <si>
    <t>Description</t>
  </si>
  <si>
    <t>parameter</t>
  </si>
  <si>
    <t>Savings rate</t>
  </si>
  <si>
    <t>s</t>
  </si>
  <si>
    <t>unit</t>
  </si>
  <si>
    <t>Carbon to CO2 conversion rate (44/12)</t>
  </si>
  <si>
    <t>t</t>
  </si>
  <si>
    <t>L(t)</t>
  </si>
  <si>
    <t>Population</t>
  </si>
  <si>
    <t>rate</t>
  </si>
  <si>
    <t>c(t)</t>
  </si>
  <si>
    <t>temperature change</t>
  </si>
  <si>
    <t>climate change damage</t>
  </si>
  <si>
    <t>Discount factor</t>
  </si>
  <si>
    <t>Discounted utility</t>
  </si>
  <si>
    <t>u(c)</t>
  </si>
  <si>
    <t>ln $ per capita</t>
  </si>
  <si>
    <t>theta(t)</t>
  </si>
  <si>
    <t>disc u(c)</t>
  </si>
  <si>
    <t>source &amp; notes</t>
  </si>
  <si>
    <t>D(t)</t>
  </si>
  <si>
    <t>CC(t)</t>
  </si>
  <si>
    <t>BLOCKS</t>
  </si>
  <si>
    <r>
      <t xml:space="preserve">Utility </t>
    </r>
    <r>
      <rPr>
        <sz val="10"/>
        <rFont val="Calibri"/>
        <family val="2"/>
        <scheme val="minor"/>
      </rPr>
      <t>(using eta = 1)</t>
    </r>
  </si>
  <si>
    <t>Chemistry</t>
  </si>
  <si>
    <t>CtoCO2_cr</t>
  </si>
  <si>
    <t>CCR</t>
  </si>
  <si>
    <t>A(t)</t>
  </si>
  <si>
    <t>endogeneous</t>
  </si>
  <si>
    <t>A_0</t>
  </si>
  <si>
    <t>g_A(t)</t>
  </si>
  <si>
    <t>g_A0</t>
  </si>
  <si>
    <t>change in productivity growth rate</t>
  </si>
  <si>
    <t>delta_A</t>
  </si>
  <si>
    <t>Cobb Douglas: exponent capital</t>
  </si>
  <si>
    <t>alfa</t>
  </si>
  <si>
    <t>CLIMATE  MODULE</t>
  </si>
  <si>
    <t>SOCIAL PLANER MODULE</t>
  </si>
  <si>
    <t>Initial TFP</t>
  </si>
  <si>
    <t>Initial TFP growth rate</t>
  </si>
  <si>
    <t>UNITS &amp; SOURCE</t>
  </si>
  <si>
    <t>k(t)</t>
  </si>
  <si>
    <t>Steady-state capital stock per capita with damages</t>
  </si>
  <si>
    <t>consumption per capita with damages</t>
  </si>
  <si>
    <t>y(t)</t>
  </si>
  <si>
    <t>endogeneous, parameter</t>
  </si>
  <si>
    <t>endogeneous, °C</t>
  </si>
  <si>
    <t>Population Growth</t>
  </si>
  <si>
    <t>g_nL(t)</t>
  </si>
  <si>
    <t>million people</t>
  </si>
  <si>
    <t>Initial population growth rate</t>
  </si>
  <si>
    <t>L(0)</t>
  </si>
  <si>
    <t>g_L(0)</t>
  </si>
  <si>
    <t>2.3% annual increase</t>
  </si>
  <si>
    <t>Parameter affecting population growth</t>
  </si>
  <si>
    <t>delta_L</t>
  </si>
  <si>
    <t>endogeneous, million people</t>
  </si>
  <si>
    <t>Total Factor Productivity growth</t>
  </si>
  <si>
    <t>Total Factor Productivity</t>
  </si>
  <si>
    <t>GHG(t)</t>
  </si>
  <si>
    <t>Y(0)</t>
  </si>
  <si>
    <t>M€15</t>
  </si>
  <si>
    <t>POST CLIMATE ESTIMATION MODULE</t>
  </si>
  <si>
    <t>Rate of pure time preference</t>
  </si>
  <si>
    <t>rho</t>
  </si>
  <si>
    <t>ECONOMIC INPUTS MODULE</t>
  </si>
  <si>
    <t>gamma</t>
  </si>
  <si>
    <t>General parameters</t>
  </si>
  <si>
    <r>
      <t xml:space="preserve">Mitigation data  </t>
    </r>
    <r>
      <rPr>
        <i/>
        <sz val="10"/>
        <color theme="1" tint="0.34998626667073579"/>
        <rFont val="Calibri"/>
        <family val="2"/>
        <scheme val="minor"/>
      </rPr>
      <t xml:space="preserve"> Used in scenarios other than BAU</t>
    </r>
  </si>
  <si>
    <r>
      <t xml:space="preserve">Mitigation parameters </t>
    </r>
    <r>
      <rPr>
        <i/>
        <sz val="10"/>
        <color theme="1" tint="0.34998626667073579"/>
        <rFont val="Calibri"/>
        <family val="2"/>
        <scheme val="minor"/>
      </rPr>
      <t xml:space="preserve"> Used in scenarios other than BAU</t>
    </r>
  </si>
  <si>
    <t>Graphs</t>
  </si>
  <si>
    <t>Cumulative Carbon Emissions</t>
  </si>
  <si>
    <t>Steady-state output/income per capita with damages</t>
  </si>
  <si>
    <t>eta</t>
  </si>
  <si>
    <t>Rate of change in marginal utility for each level of per capita consumption - for utility function</t>
  </si>
  <si>
    <t>TOTAL WELFARE (sum of discounted utility in the scenario)</t>
  </si>
  <si>
    <t>POST CLIMATE &amp; ABATEMENT ESTIMATION MODULE</t>
  </si>
  <si>
    <t>CC(0)</t>
  </si>
  <si>
    <t>Initial cumulated CO2 emissions</t>
  </si>
  <si>
    <t>Steady-state output/income per capita with damages and abatement</t>
  </si>
  <si>
    <t>consumption per capita with damages and abatement</t>
  </si>
  <si>
    <t>Sol_Q(t)</t>
  </si>
  <si>
    <t>Win_Q(t)</t>
  </si>
  <si>
    <t>Nuc_Q(t)</t>
  </si>
  <si>
    <t>omega(t)</t>
  </si>
  <si>
    <t>Cumulative Carbon Emissions after abatement</t>
  </si>
  <si>
    <t>Sol_P(t)</t>
  </si>
  <si>
    <t>Win_P(t)</t>
  </si>
  <si>
    <t>Spain population in 2010</t>
  </si>
  <si>
    <t>Spain GDP in 2010</t>
  </si>
  <si>
    <t>Parameter affecting productivity growth due to change in temperature</t>
  </si>
  <si>
    <t>A) Gross Electricity Generation, by source</t>
  </si>
  <si>
    <t>exogeneous, from EU Reference Scenario 2020, Gwh</t>
  </si>
  <si>
    <r>
      <t xml:space="preserve">Solar
</t>
    </r>
    <r>
      <rPr>
        <i/>
        <sz val="8"/>
        <rFont val="Calibri"/>
        <family val="2"/>
        <scheme val="minor"/>
      </rPr>
      <t>generation</t>
    </r>
  </si>
  <si>
    <r>
      <t xml:space="preserve">Wind
</t>
    </r>
    <r>
      <rPr>
        <i/>
        <sz val="8"/>
        <rFont val="Calibri"/>
        <family val="2"/>
        <scheme val="minor"/>
      </rPr>
      <t>generation</t>
    </r>
  </si>
  <si>
    <r>
      <t xml:space="preserve">Nuclear
</t>
    </r>
    <r>
      <rPr>
        <i/>
        <sz val="8"/>
        <rFont val="Calibri"/>
        <family val="2"/>
        <scheme val="minor"/>
      </rPr>
      <t>generation</t>
    </r>
  </si>
  <si>
    <t>C) Scenario Mitigation parameters</t>
  </si>
  <si>
    <t>endogeneous, calculated from A)</t>
  </si>
  <si>
    <r>
      <t xml:space="preserve">Fossil fuels </t>
    </r>
    <r>
      <rPr>
        <sz val="8"/>
        <rFont val="Calibri"/>
        <family val="2"/>
        <scheme val="minor"/>
      </rPr>
      <t>(includes natural gas)</t>
    </r>
    <r>
      <rPr>
        <b/>
        <sz val="10"/>
        <rFont val="Calibri"/>
        <family val="2"/>
        <scheme val="minor"/>
      </rPr>
      <t xml:space="preserve">
</t>
    </r>
    <r>
      <rPr>
        <i/>
        <sz val="8"/>
        <rFont val="Calibri"/>
        <family val="2"/>
        <scheme val="minor"/>
      </rPr>
      <t>capacity</t>
    </r>
  </si>
  <si>
    <t>exogeneous from IEA Net Zero Report, $/MWh</t>
  </si>
  <si>
    <t>TOTAL_Q(t)</t>
  </si>
  <si>
    <t>% solar and wind penetration in the electricity mix</t>
  </si>
  <si>
    <t>SW_pen(t)</t>
  </si>
  <si>
    <t>FF_Q(t)</t>
  </si>
  <si>
    <t>B) RES Electricity Generation Costs, by source</t>
  </si>
  <si>
    <t>exogeneous, from IEA Net Zero Report, Table A.3, electricity generation, Twh</t>
  </si>
  <si>
    <t>SPAIN Gross Electricity generation</t>
  </si>
  <si>
    <r>
      <t xml:space="preserve">WORLD Solar
</t>
    </r>
    <r>
      <rPr>
        <i/>
        <sz val="8"/>
        <rFont val="Calibri"/>
        <family val="2"/>
        <scheme val="minor"/>
      </rPr>
      <t>generation</t>
    </r>
  </si>
  <si>
    <r>
      <t xml:space="preserve">WORLD Wind
</t>
    </r>
    <r>
      <rPr>
        <i/>
        <sz val="8"/>
        <rFont val="Calibri"/>
        <family val="2"/>
        <scheme val="minor"/>
      </rPr>
      <t>generation</t>
    </r>
  </si>
  <si>
    <r>
      <t xml:space="preserve">WORLD Nuclear
</t>
    </r>
    <r>
      <rPr>
        <i/>
        <sz val="8"/>
        <rFont val="Calibri"/>
        <family val="2"/>
        <scheme val="minor"/>
      </rPr>
      <t>generation</t>
    </r>
  </si>
  <si>
    <r>
      <t xml:space="preserve">WORLD Fossil fuels </t>
    </r>
    <r>
      <rPr>
        <sz val="8"/>
        <rFont val="Calibri"/>
        <family val="2"/>
        <scheme val="minor"/>
      </rPr>
      <t>(includes natural gas)</t>
    </r>
    <r>
      <rPr>
        <b/>
        <sz val="10"/>
        <rFont val="Calibri"/>
        <family val="2"/>
        <scheme val="minor"/>
      </rPr>
      <t xml:space="preserve">
</t>
    </r>
    <r>
      <rPr>
        <i/>
        <sz val="8"/>
        <rFont val="Calibri"/>
        <family val="2"/>
        <scheme val="minor"/>
      </rPr>
      <t>capacity</t>
    </r>
  </si>
  <si>
    <r>
      <t xml:space="preserve">WORLD Fossil fuels </t>
    </r>
    <r>
      <rPr>
        <sz val="8"/>
        <rFont val="Calibri"/>
        <family val="2"/>
        <scheme val="minor"/>
      </rPr>
      <t>(includes natural gas)</t>
    </r>
    <r>
      <rPr>
        <b/>
        <sz val="10"/>
        <rFont val="Calibri"/>
        <family val="2"/>
        <scheme val="minor"/>
      </rPr>
      <t xml:space="preserve">
</t>
    </r>
    <r>
      <rPr>
        <i/>
        <sz val="8"/>
        <rFont val="Calibri"/>
        <family val="2"/>
        <scheme val="minor"/>
      </rPr>
      <t>generation</t>
    </r>
  </si>
  <si>
    <t>m(t)</t>
  </si>
  <si>
    <r>
      <t xml:space="preserve">ELECTRICITY GENERATION MODULE </t>
    </r>
    <r>
      <rPr>
        <i/>
        <sz val="9"/>
        <rFont val="Calibri"/>
        <family val="2"/>
        <scheme val="minor"/>
      </rPr>
      <t>- with abatement</t>
    </r>
  </si>
  <si>
    <t xml:space="preserve"> </t>
  </si>
  <si>
    <t>ELECTRICITY GENERATION MODULE</t>
  </si>
  <si>
    <t>AC(t)</t>
  </si>
  <si>
    <t>Initial abatement cost parameter</t>
  </si>
  <si>
    <t>elect_cost(t)</t>
  </si>
  <si>
    <t>endogeneous, calculated using e convex abatement
cost function of Nordhaus and Sztorc (2013)</t>
  </si>
  <si>
    <t>Nordhaus &amp; Sztorc (2013)</t>
  </si>
  <si>
    <t>omega_0</t>
  </si>
  <si>
    <t>Abatement costs coefficient growth</t>
  </si>
  <si>
    <t>Cumulated abatement</t>
  </si>
  <si>
    <t>M(t)</t>
  </si>
  <si>
    <t>sigma(t)</t>
  </si>
  <si>
    <t>Y(t)</t>
  </si>
  <si>
    <t>endogeneous, calculated from mitigation rate, exog emissions intensity and exog GDP (exog from EU Reference Scenario 2020)</t>
  </si>
  <si>
    <t>Change in depreciation rate due to temperature</t>
  </si>
  <si>
    <t>delta_1</t>
  </si>
  <si>
    <t>Capital Depreciation rate</t>
  </si>
  <si>
    <t>sigma_K(t)</t>
  </si>
  <si>
    <t>T(t)</t>
  </si>
  <si>
    <t>Emissions Intensity of Electricity</t>
  </si>
  <si>
    <t>Total abatement costs multiplier</t>
  </si>
  <si>
    <t>engoeneous, calculated from mitigation rate as in Tsigaris &amp; Wood (2016)</t>
  </si>
  <si>
    <t>Exponent abatement cost function</t>
  </si>
  <si>
    <t>theta_AC</t>
  </si>
  <si>
    <t xml:space="preserve">Estimated losses in y(t) due to climate change damage </t>
  </si>
  <si>
    <t>D_y_loss(t)</t>
  </si>
  <si>
    <t>Exchange rate from US $ to €</t>
  </si>
  <si>
    <t>N/A</t>
  </si>
  <si>
    <t>1) Energy mix for IEA NZE scenario</t>
  </si>
  <si>
    <t>2) Energy mix for High RES scenario</t>
  </si>
  <si>
    <t>3) Energy mix for Low nuclear scenario</t>
  </si>
  <si>
    <t>exogeneous, from Impact Assessment to COM Energy Roadmap 2050, Attachment 1, Table 4, results for electricity and steam generation, Net Generation Capacity in Mwe</t>
  </si>
  <si>
    <t>TOTAL_Q_HiRES(t)</t>
  </si>
  <si>
    <t>Sol_Q_HiRES(t)</t>
  </si>
  <si>
    <t>Win_Q_HiRES(t)</t>
  </si>
  <si>
    <t>Nuc_Q_HiRES(t)</t>
  </si>
  <si>
    <t>FF_Q_HiRES(t)</t>
  </si>
  <si>
    <r>
      <t xml:space="preserve">WORLD Gross Electricity </t>
    </r>
    <r>
      <rPr>
        <i/>
        <sz val="8"/>
        <rFont val="Calibri"/>
        <family val="2"/>
        <scheme val="minor"/>
      </rPr>
      <t>generation</t>
    </r>
  </si>
  <si>
    <t>SPAIN Solar</t>
  </si>
  <si>
    <t>SPAIN Wind</t>
  </si>
  <si>
    <t>SPAIN Nuclear</t>
  </si>
  <si>
    <r>
      <t xml:space="preserve">SPAIN Fossil fuels 
</t>
    </r>
    <r>
      <rPr>
        <sz val="8"/>
        <rFont val="Calibri"/>
        <family val="2"/>
        <scheme val="minor"/>
      </rPr>
      <t>(includes natural gas)</t>
    </r>
  </si>
  <si>
    <r>
      <t xml:space="preserve">SPAIN Fossil fuels </t>
    </r>
    <r>
      <rPr>
        <sz val="8"/>
        <rFont val="Calibri"/>
        <family val="2"/>
        <scheme val="minor"/>
      </rPr>
      <t>(includes solids, oil and gas fired)</t>
    </r>
  </si>
  <si>
    <t>exogeneous, from Impact Assessment to COM Energy Roadmap 2050, Attachment 1, Table 6, results for electricity and steam generation, Net Generation Capacity in Mwe</t>
  </si>
  <si>
    <r>
      <t xml:space="preserve">EU WIND Net Electricity generation capacity
</t>
    </r>
    <r>
      <rPr>
        <i/>
        <sz val="8"/>
        <rFont val="Calibri"/>
        <family val="2"/>
        <scheme val="minor"/>
      </rPr>
      <t>Under High RES Scenario in Energy Roadmap 2050</t>
    </r>
  </si>
  <si>
    <r>
      <t xml:space="preserve">EU NUCLEAR Net Electricity generation capacity
</t>
    </r>
    <r>
      <rPr>
        <i/>
        <sz val="8"/>
        <rFont val="Calibri"/>
        <family val="2"/>
        <scheme val="minor"/>
      </rPr>
      <t>Under High RES Scenario in Energy Roadmap 2050</t>
    </r>
  </si>
  <si>
    <r>
      <t xml:space="preserve">EU TOTAL Net Electricity generation capacity
</t>
    </r>
    <r>
      <rPr>
        <i/>
        <sz val="8"/>
        <rFont val="Calibri"/>
        <family val="2"/>
        <scheme val="minor"/>
      </rPr>
      <t>Under High RES Scenario in Energy Roadmap 2050</t>
    </r>
  </si>
  <si>
    <r>
      <t xml:space="preserve">EU SOLAR Net Electricity generation capacity
</t>
    </r>
    <r>
      <rPr>
        <i/>
        <sz val="8"/>
        <rFont val="Calibri"/>
        <family val="2"/>
        <scheme val="minor"/>
      </rPr>
      <t>Under High RES Scenario in Energy Roadmap 2050</t>
    </r>
  </si>
  <si>
    <r>
      <t xml:space="preserve">EU FOSSIL FUELS Net Electricity generation capacity
</t>
    </r>
    <r>
      <rPr>
        <i/>
        <sz val="8"/>
        <rFont val="Calibri"/>
        <family val="2"/>
        <scheme val="minor"/>
      </rPr>
      <t>Under High RES Scenario in Energy Roadmap 2050</t>
    </r>
    <r>
      <rPr>
        <b/>
        <sz val="10"/>
        <rFont val="Calibri"/>
        <family val="2"/>
        <scheme val="minor"/>
      </rPr>
      <t xml:space="preserve"> </t>
    </r>
    <r>
      <rPr>
        <i/>
        <sz val="8"/>
        <rFont val="Calibri"/>
        <family val="2"/>
        <scheme val="minor"/>
      </rPr>
      <t>(includes solids, oil and gas fired)</t>
    </r>
  </si>
  <si>
    <r>
      <t xml:space="preserve">EU TOTAL Net Electricity generation capacity 
</t>
    </r>
    <r>
      <rPr>
        <i/>
        <sz val="8"/>
        <rFont val="Calibri"/>
        <family val="2"/>
        <scheme val="minor"/>
      </rPr>
      <t>Under Low Nuclear  Scenario in Energy Roadmap 2050</t>
    </r>
  </si>
  <si>
    <r>
      <t xml:space="preserve">EU SOLAR Net Electricity generation capacity 
</t>
    </r>
    <r>
      <rPr>
        <i/>
        <sz val="8"/>
        <rFont val="Calibri"/>
        <family val="2"/>
        <scheme val="minor"/>
      </rPr>
      <t>Under Low Nuclear Scenario in Energy Roadmap 2050</t>
    </r>
  </si>
  <si>
    <r>
      <t xml:space="preserve">EU WIND Net Electricity generation capacity
</t>
    </r>
    <r>
      <rPr>
        <i/>
        <sz val="8"/>
        <rFont val="Calibri"/>
        <family val="2"/>
        <scheme val="minor"/>
      </rPr>
      <t>Under Low Nuclear Scenario in Energy Roadmap 2050</t>
    </r>
  </si>
  <si>
    <r>
      <t xml:space="preserve">EU NUCLEAR Net Electricity generation capacity
</t>
    </r>
    <r>
      <rPr>
        <i/>
        <sz val="8"/>
        <rFont val="Calibri"/>
        <family val="2"/>
        <scheme val="minor"/>
      </rPr>
      <t>Under Low Nuclear Scenario in Energy Roadmap 2050</t>
    </r>
  </si>
  <si>
    <r>
      <t xml:space="preserve">EU WIND Net Electricity generation capacity 
</t>
    </r>
    <r>
      <rPr>
        <i/>
        <sz val="8"/>
        <rFont val="Calibri"/>
        <family val="2"/>
        <scheme val="minor"/>
      </rPr>
      <t>Under High RES Scenario in Energy Roadmap 2050</t>
    </r>
  </si>
  <si>
    <r>
      <t xml:space="preserve">EU FOSSIL FUELS Net Electricity generation capacity 
</t>
    </r>
    <r>
      <rPr>
        <i/>
        <sz val="8"/>
        <rFont val="Calibri"/>
        <family val="2"/>
        <scheme val="minor"/>
      </rPr>
      <t>Under Low Nuclear Scenario in Energy Roadmap 2050 (includes solids, oil and gas fired)</t>
    </r>
  </si>
  <si>
    <t>TOTAL_Q_LoNuc(t)</t>
  </si>
  <si>
    <t>Sol_Q_LoNuc(t)</t>
  </si>
  <si>
    <t>Win_Q_LoNuc(t)</t>
  </si>
  <si>
    <t>Nuc_Q_LoNuc(t)</t>
  </si>
  <si>
    <t>FF_Q_LoNuc(t)</t>
  </si>
  <si>
    <t>4) Energy mix for Energy Efficiency scenario</t>
  </si>
  <si>
    <t>exogeneous, from Impact Assessment to COM Energy Roadmap 2050, Attachment 1, Table 2, results for electricity and steam generation, Net Generation Capacity in Mwe</t>
  </si>
  <si>
    <r>
      <t xml:space="preserve">EU TOTAL Net Electricity generation capacity 
</t>
    </r>
    <r>
      <rPr>
        <i/>
        <sz val="8"/>
        <rFont val="Calibri"/>
        <family val="2"/>
        <scheme val="minor"/>
      </rPr>
      <t>Under Energy Efficiency  Scenario in Energy Roadmap 2050</t>
    </r>
  </si>
  <si>
    <r>
      <t xml:space="preserve">EU SOLAR Net Electricity generation capacity 
</t>
    </r>
    <r>
      <rPr>
        <i/>
        <sz val="8"/>
        <rFont val="Calibri"/>
        <family val="2"/>
        <scheme val="minor"/>
      </rPr>
      <t>Under Energy Efficiency Scenario in Energy Roadmap 2050</t>
    </r>
  </si>
  <si>
    <r>
      <t xml:space="preserve">EU WIND Net Electricity generation capacity
</t>
    </r>
    <r>
      <rPr>
        <i/>
        <sz val="8"/>
        <rFont val="Calibri"/>
        <family val="2"/>
        <scheme val="minor"/>
      </rPr>
      <t>Under Energy Efficiency Scenario in Energy Roadmap 2050</t>
    </r>
  </si>
  <si>
    <r>
      <t xml:space="preserve">EU NUCLEAR Net Electricity generation capacity
</t>
    </r>
    <r>
      <rPr>
        <i/>
        <sz val="8"/>
        <rFont val="Calibri"/>
        <family val="2"/>
        <scheme val="minor"/>
      </rPr>
      <t>Under Energy Efficiency Scenario in Energy Roadmap 2050</t>
    </r>
  </si>
  <si>
    <r>
      <t xml:space="preserve">EU FOSSIL FUELS Net Electricity generation capacity 
</t>
    </r>
    <r>
      <rPr>
        <i/>
        <sz val="8"/>
        <rFont val="Calibri"/>
        <family val="2"/>
        <scheme val="minor"/>
      </rPr>
      <t>Under Energy Efficiency Scenario in Energy Roadmap 2050 (includes solids, oil and gas fired)</t>
    </r>
  </si>
  <si>
    <t>TOTAL_Q_EE(t)</t>
  </si>
  <si>
    <t>Sol_Q_EE(t)</t>
  </si>
  <si>
    <t>Win_Q_EE(t)</t>
  </si>
  <si>
    <t>Nuc_Q_EEc(t)</t>
  </si>
  <si>
    <t>FF_Q_EE(t)</t>
  </si>
  <si>
    <t>Section 1 - How bad will it get</t>
  </si>
  <si>
    <t>Section 2 - Mitigation - What can we do about it and how much will it cost</t>
  </si>
  <si>
    <t>Section 3 - Social planner decision scoreboard  - How will society be affected under each scenario</t>
  </si>
  <si>
    <t>Subsecion 2A - How will the electricity mix will look like in each scenario</t>
  </si>
  <si>
    <r>
      <t xml:space="preserve">SPAIN Solar
</t>
    </r>
    <r>
      <rPr>
        <i/>
        <sz val="8"/>
        <rFont val="Calibri"/>
        <family val="2"/>
        <scheme val="minor"/>
      </rPr>
      <t>generation, Gwh</t>
    </r>
  </si>
  <si>
    <r>
      <t xml:space="preserve">BAU data  </t>
    </r>
    <r>
      <rPr>
        <i/>
        <sz val="10"/>
        <color theme="1" tint="0.34998626667073579"/>
        <rFont val="Calibri"/>
        <family val="2"/>
        <scheme val="minor"/>
      </rPr>
      <t xml:space="preserve"> Used for BAU</t>
    </r>
  </si>
  <si>
    <t>1) Energy mix for BAU</t>
  </si>
  <si>
    <t>CALCULATED PROPORTIONS TO ACHIEVE THE SCENARIO - using the data from IEA Net Zero Report</t>
  </si>
  <si>
    <t>CALCULATED PROPORTIONS TO ACHIEVE THE SCENARIO - using the data from Impact Assessment to COM Energy Roadmap to 2050</t>
  </si>
  <si>
    <t>exogeneous, from Impact Assessment to COM Energy Roadmap 2050, Attachment 1, Table 1bis, results for electricity and steam generation, Net Generation Capacity in Mwe</t>
  </si>
  <si>
    <t>TOTAL_Q_BAU(t)</t>
  </si>
  <si>
    <t>Sol_Q_BAU(t)</t>
  </si>
  <si>
    <t>Win_Q_BAU(t)</t>
  </si>
  <si>
    <t>Nuc_Q_BAU(t)</t>
  </si>
  <si>
    <t>FF_Q_BAU(t)</t>
  </si>
  <si>
    <t>CALCULATED PROPORTIONS TO ACHIEVE THE SCENARIO -  using the data from Impact Assessment to COM Energy Roadmap to 2050</t>
  </si>
  <si>
    <t xml:space="preserve">RESULTING ELECTRICITY MIX
</t>
  </si>
  <si>
    <r>
      <t xml:space="preserve">EU TOTAL Net Electricity generation capacity 
</t>
    </r>
    <r>
      <rPr>
        <i/>
        <sz val="8"/>
        <rFont val="Calibri"/>
        <family val="2"/>
        <scheme val="minor"/>
      </rPr>
      <t>Under Current Policy Initiatives  Scenario in Energy Roadmap 2050</t>
    </r>
  </si>
  <si>
    <r>
      <t xml:space="preserve">EU SOLAR Net Electricity generation capacity 
</t>
    </r>
    <r>
      <rPr>
        <i/>
        <sz val="8"/>
        <rFont val="Calibri"/>
        <family val="2"/>
        <scheme val="minor"/>
      </rPr>
      <t>Under Current Policy Initiatives Scenario in Energy Roadmap 2050</t>
    </r>
  </si>
  <si>
    <r>
      <t xml:space="preserve">EU WIND Net Electricity generation capacity
</t>
    </r>
    <r>
      <rPr>
        <i/>
        <sz val="8"/>
        <rFont val="Calibri"/>
        <family val="2"/>
        <scheme val="minor"/>
      </rPr>
      <t>Under Current Policy Initiatives Scenario in Energy Roadmap 2050</t>
    </r>
  </si>
  <si>
    <r>
      <t xml:space="preserve">EU NUCLEAR Net Electricity generation capacity
</t>
    </r>
    <r>
      <rPr>
        <i/>
        <sz val="8"/>
        <rFont val="Calibri"/>
        <family val="2"/>
        <scheme val="minor"/>
      </rPr>
      <t>Under Current Policy Initiatives Scenario in Energy Roadmap 2050</t>
    </r>
  </si>
  <si>
    <r>
      <t xml:space="preserve">EU FOSSIL FUELS Net Electricity generation capacity 
</t>
    </r>
    <r>
      <rPr>
        <i/>
        <sz val="8"/>
        <rFont val="Calibri"/>
        <family val="2"/>
        <scheme val="minor"/>
      </rPr>
      <t>Under Current Policy Initiatives Scenario in Energy Roadmap 2050 (includes solids, oil and gas fired)</t>
    </r>
  </si>
  <si>
    <t>exogeneous, from COM roadmap current policies scenario, Gwh</t>
  </si>
  <si>
    <t>% fossil fuels penetration in the electricity mix</t>
  </si>
  <si>
    <t>FF_pen(t)</t>
  </si>
  <si>
    <t>Mitigation rate</t>
  </si>
  <si>
    <t>endogeneous, calculated as the marginal change on solar, wind and fossil fuels penetration compared to BAU</t>
  </si>
  <si>
    <t>endogeneous, based on fossil fuels penetration in electricity mix</t>
  </si>
  <si>
    <t>Total CO2 emissions after abatement</t>
  </si>
  <si>
    <r>
      <t xml:space="preserve">Climate Damages
</t>
    </r>
    <r>
      <rPr>
        <sz val="10"/>
        <rFont val="Calibri"/>
        <family val="2"/>
        <scheme val="minor"/>
      </rPr>
      <t>(Weitzman)</t>
    </r>
  </si>
  <si>
    <t>D_1</t>
  </si>
  <si>
    <t>D_2</t>
  </si>
  <si>
    <t>D_3</t>
  </si>
  <si>
    <t>D_4</t>
  </si>
  <si>
    <t>TFP growth no damage</t>
  </si>
  <si>
    <t>A_noD(t)</t>
  </si>
  <si>
    <t>TFP no damage</t>
  </si>
  <si>
    <t>k no damage</t>
  </si>
  <si>
    <t>Steady-state output/income per capita without damages</t>
  </si>
  <si>
    <t>y_noD(t)</t>
  </si>
  <si>
    <t>Agrowth_noD(t)</t>
  </si>
  <si>
    <t>k_noD(t)</t>
  </si>
  <si>
    <t>endogeneous, used for interim calculations towardsclimate losses</t>
  </si>
  <si>
    <t>endogeneous, billion EUR</t>
  </si>
  <si>
    <t>endogeneous, thousand EUR per person</t>
  </si>
  <si>
    <t>endogeneous, used for interim calculations towardsclimate losses, same as in BAU</t>
  </si>
  <si>
    <t>RES_Q(t)</t>
  </si>
  <si>
    <r>
      <t xml:space="preserve">RES total 
</t>
    </r>
    <r>
      <rPr>
        <sz val="8"/>
        <rFont val="Calibri"/>
        <family val="2"/>
        <scheme val="minor"/>
      </rPr>
      <t>(for investment calculation), in Mwh</t>
    </r>
  </si>
  <si>
    <t>endogeneous, calculated from data in parameters</t>
  </si>
  <si>
    <t>endogeneous, calculated from B), billion EUR</t>
  </si>
  <si>
    <t>Total needed investment in RES deployment</t>
  </si>
  <si>
    <t>Total needed investment in RES deployment compared to BAU</t>
  </si>
  <si>
    <t>Initial capital depreciation rate</t>
  </si>
  <si>
    <t>delta_0</t>
  </si>
  <si>
    <t>Weitzman damage function parameter 1</t>
  </si>
  <si>
    <t>Weitzman damage function parameter 2</t>
  </si>
  <si>
    <t>Weitzman damage function parameter 3</t>
  </si>
  <si>
    <t>Weitzman damage function parameter 4</t>
  </si>
  <si>
    <t>Billion carbon tons already emitted globally in 2010</t>
  </si>
  <si>
    <t>Global GHG emissions</t>
  </si>
  <si>
    <t>endogeneous, GtCO2eq</t>
  </si>
  <si>
    <t>exogeneous - used to compute endogeneous emissions, from EU Reference Scenario 2020, in 0000 M€15</t>
  </si>
  <si>
    <r>
      <t xml:space="preserve">GDP EU27
</t>
    </r>
    <r>
      <rPr>
        <i/>
        <sz val="9"/>
        <rFont val="Calibri"/>
        <family val="2"/>
        <scheme val="minor"/>
      </rPr>
      <t>for emissions calculation</t>
    </r>
  </si>
  <si>
    <t>first value exogeneous, the rest endogeneous, GtCO2eq</t>
  </si>
  <si>
    <t>Mathews et al. (2012). Parameter showing a close to linear relationship at a 95% confidence for the model array studied in the paper</t>
  </si>
  <si>
    <t>parameter showing temperature increase per cumulative 000 Gt of CO2eq emitted in the atmosphere</t>
  </si>
  <si>
    <t>Carbon-Climate Response parameter</t>
  </si>
  <si>
    <t>Eurostat (2022). Average household saving rate from 2010 to 2020</t>
  </si>
  <si>
    <t>Weitzman (2010a)</t>
  </si>
  <si>
    <t>EU Reference Scenario 2020 (European Commission 2021c)</t>
  </si>
  <si>
    <t>INE (2022). Spanish National Statistics Institute</t>
  </si>
  <si>
    <t>Stern (2013)</t>
  </si>
  <si>
    <t>Taken from literature review on the empirical range of this parameter among others done in Macias &amp; Matilla-Garcia (2015) where based on results from Bentolila &amp; Saint-Paul (2003) they estimate an alpha of around 40% for OECD countries</t>
  </si>
  <si>
    <t>Various sources, mainly aligned with Stern review as welfare of future generations is highly valued and climate policy is more stringent</t>
  </si>
  <si>
    <t>Necessary level of “eta” to have an iso-elastic utility function (Norstad (1999), in which allocation results in the scenario are not sensible to the distribution of wealth. “eta” represents the change in marginal utility for each level of per capita consumption. In our IAM we follow the example of the PAGE2002 model and take the case of eta = 1, as this allows the aggregation of the impacts in per capita consumption into the welfare function (Hope 2006)</t>
  </si>
  <si>
    <t>Nordhaus (2007)</t>
  </si>
  <si>
    <t>Fraunhofer (2021)</t>
  </si>
  <si>
    <t>Lazard (2021)</t>
  </si>
  <si>
    <t>IRENA (2022)</t>
  </si>
  <si>
    <r>
      <rPr>
        <b/>
        <sz val="8"/>
        <color theme="1"/>
        <rFont val="Arial"/>
        <family val="2"/>
      </rPr>
      <t>Wind</t>
    </r>
    <r>
      <rPr>
        <sz val="8"/>
        <color theme="1"/>
        <rFont val="Arial"/>
        <family val="2"/>
      </rPr>
      <t xml:space="preserve"> (incl. offshore and onshore) </t>
    </r>
    <r>
      <rPr>
        <b/>
        <sz val="8"/>
        <color theme="1"/>
        <rFont val="Arial"/>
        <family val="2"/>
      </rPr>
      <t>with storage</t>
    </r>
    <r>
      <rPr>
        <sz val="8"/>
        <color theme="1"/>
        <rFont val="Arial"/>
        <family val="2"/>
      </rPr>
      <t xml:space="preserve"> (US $/MWh, average)</t>
    </r>
  </si>
  <si>
    <r>
      <rPr>
        <b/>
        <sz val="8"/>
        <color theme="1"/>
        <rFont val="Arial"/>
        <family val="2"/>
      </rPr>
      <t>Solar PV</t>
    </r>
    <r>
      <rPr>
        <sz val="8"/>
        <color theme="1"/>
        <rFont val="Arial"/>
        <family val="2"/>
      </rPr>
      <t>, no storage (US $/MWh, average)</t>
    </r>
  </si>
  <si>
    <r>
      <rPr>
        <b/>
        <sz val="8"/>
        <color theme="1"/>
        <rFont val="Arial"/>
        <family val="2"/>
      </rPr>
      <t>Solar PV</t>
    </r>
    <r>
      <rPr>
        <sz val="8"/>
        <color theme="1"/>
        <rFont val="Arial"/>
        <family val="2"/>
      </rPr>
      <t xml:space="preserve"> with storage (US $/MWh, average)</t>
    </r>
  </si>
  <si>
    <r>
      <rPr>
        <b/>
        <sz val="8"/>
        <color theme="1"/>
        <rFont val="Arial"/>
        <family val="2"/>
      </rPr>
      <t>Wind</t>
    </r>
    <r>
      <rPr>
        <sz val="8"/>
        <color theme="1"/>
        <rFont val="Arial"/>
        <family val="2"/>
      </rPr>
      <t xml:space="preserve"> (incl. offshore and onshore), no storage (US $/MWh, average)</t>
    </r>
  </si>
  <si>
    <r>
      <rPr>
        <b/>
        <sz val="8"/>
        <color theme="1"/>
        <rFont val="Arial"/>
        <family val="2"/>
      </rPr>
      <t>Fossil fuels</t>
    </r>
    <r>
      <rPr>
        <sz val="8"/>
        <color theme="1"/>
        <rFont val="Arial"/>
        <family val="2"/>
      </rPr>
      <t xml:space="preserve"> (incl. solids, oil, and gas fired) (US $/MWh, average)</t>
    </r>
  </si>
  <si>
    <r>
      <rPr>
        <b/>
        <sz val="8"/>
        <color theme="1"/>
        <rFont val="Arial"/>
        <family val="2"/>
      </rPr>
      <t>Nuclear</t>
    </r>
    <r>
      <rPr>
        <sz val="8"/>
        <color theme="1"/>
        <rFont val="Arial"/>
        <family val="2"/>
      </rPr>
      <t xml:space="preserve"> (US $/MWh, average)</t>
    </r>
  </si>
  <si>
    <t>Notes on assumptions in each source</t>
  </si>
  <si>
    <t>IEA (2021)</t>
  </si>
  <si>
    <r>
      <rPr>
        <b/>
        <sz val="8"/>
        <color theme="1"/>
        <rFont val="Arial"/>
        <family val="2"/>
      </rPr>
      <t>Energy storage</t>
    </r>
    <r>
      <rPr>
        <sz val="8"/>
        <color theme="1"/>
        <rFont val="Arial"/>
        <family val="2"/>
      </rPr>
      <t xml:space="preserve"> (applying only for solar and wind) (US $/MWh, average)</t>
    </r>
  </si>
  <si>
    <r>
      <t xml:space="preserve">Data with no particular geographical scope. For Solar PV, two types are provided: Crystalline Utility Scale and Thin Film Utility Scale - we take the average of the two. For wind, a higher LCOE is given for the particular case of offshore, which is included in the calculation of the average LCOE. For nuclear and fossil fuels, the LCOEs corresponding to fully depreciated assets is not considered. For gas, the case of using green or blue hydrogen reported by Lazard is not considered. For the case of energy storage, we take the average value for the case of wholesale (PV +storage) based on annual energy output  (50 MW / 200 Mwh), equal to (158+85)/2 = </t>
    </r>
    <r>
      <rPr>
        <b/>
        <sz val="8"/>
        <rFont val="Calibri"/>
        <family val="2"/>
        <scheme val="minor"/>
      </rPr>
      <t>36.5 US $</t>
    </r>
    <r>
      <rPr>
        <sz val="8"/>
        <rFont val="Calibri"/>
        <family val="2"/>
        <scheme val="minor"/>
      </rPr>
      <t xml:space="preserve"> per Mwh</t>
    </r>
  </si>
  <si>
    <t>Exchange rate from € to US $</t>
  </si>
  <si>
    <t>exchange rate EUR vs USD</t>
  </si>
  <si>
    <t>exchange rate USD vs EUR</t>
  </si>
  <si>
    <t>N/A 
(not provided as single data point)</t>
  </si>
  <si>
    <t>N/A 
(not in scope of the study)</t>
  </si>
  <si>
    <t>N/A 
(not provided)</t>
  </si>
  <si>
    <t>N/A 
(provided only for residential batteries)</t>
  </si>
  <si>
    <t>Does the report incorporate LCOE projections that evolve over time at least until 2050?</t>
  </si>
  <si>
    <t>No</t>
  </si>
  <si>
    <t>Yes</t>
  </si>
  <si>
    <t>Does the report include figures to the particular case of Europe?</t>
  </si>
  <si>
    <t>Data taken for the particular case of Europe. Table A3 includes data on battery storage at global level but only for the particular case of transport (EVs). In addition,  in Figure 4.18 of IEA electricity system flexibility is considered as well – a large part of the flexibility is provided by a considerable deployment of batteries and demand response systems, but LCOEs on such storage is not provided.</t>
  </si>
  <si>
    <r>
      <t xml:space="preserve">LCOEs literature review </t>
    </r>
    <r>
      <rPr>
        <i/>
        <sz val="9"/>
        <color theme="0" tint="-0.34998626667073579"/>
        <rFont val="Calibri"/>
        <family val="2"/>
        <scheme val="minor"/>
      </rPr>
      <t>- Included in Appendix</t>
    </r>
  </si>
  <si>
    <r>
      <t xml:space="preserve">LCOEs Sensitivity Analysis </t>
    </r>
    <r>
      <rPr>
        <i/>
        <sz val="9"/>
        <color theme="0" tint="-0.34998626667073579"/>
        <rFont val="Calibri"/>
        <family val="2"/>
        <scheme val="minor"/>
      </rPr>
      <t>- Included in Appendix</t>
    </r>
  </si>
  <si>
    <t>1) Baseline - High RES Scenario with IEA LCOEs</t>
  </si>
  <si>
    <t>6) High RES Scenario with IRENA (2022) LCOEs</t>
  </si>
  <si>
    <t>5) High RES Scenario with Fraunhofer (2021) LCOEs, with storage</t>
  </si>
  <si>
    <t>4) High RES Scenario with Fraunhofer (2021) LCOEs, without storage</t>
  </si>
  <si>
    <t>3) High RES Scenario with Lazard (2021) LCOEs, with storage</t>
  </si>
  <si>
    <t>2) High RES Scenario with Lazard (2021) LCOEs, without storage</t>
  </si>
  <si>
    <t>% of LCOE decrease per year (used in LCOEs sensitivity analysis in case of no projection by 2050)</t>
  </si>
  <si>
    <r>
      <t xml:space="preserve">Solar
</t>
    </r>
    <r>
      <rPr>
        <i/>
        <sz val="10"/>
        <rFont val="Calibri"/>
        <family val="2"/>
        <scheme val="minor"/>
      </rPr>
      <t>LCOE</t>
    </r>
  </si>
  <si>
    <r>
      <t xml:space="preserve">Wind
</t>
    </r>
    <r>
      <rPr>
        <i/>
        <sz val="8"/>
        <rFont val="Calibri"/>
        <family val="2"/>
        <scheme val="minor"/>
      </rPr>
      <t>LCOE</t>
    </r>
  </si>
  <si>
    <t>Data with no particular geographical scope. Data in energy storage is provided in Box 3.2 (pae 94) of the report but for the particular case of behind-the-meter residential lithium-ion batteries in Europe, contrary to utility scale as the other reports and therefore cannot be compared with other figures.</t>
  </si>
  <si>
    <r>
      <t xml:space="preserve">BAU SCENARIO - AN IAM FOR ELECTRICITY GENERATION DECARBONISATION IN SPAIN
</t>
    </r>
    <r>
      <rPr>
        <i/>
        <sz val="10"/>
        <color theme="1"/>
        <rFont val="Calibri"/>
        <family val="2"/>
        <scheme val="minor"/>
      </rPr>
      <t>Based on figures from the EU Reference Scenario report (2020) and COM energy roadmap (2011), taken as baseline</t>
    </r>
  </si>
  <si>
    <r>
      <t xml:space="preserve">IEA NET ZERO SCENARIO - AN IAM FOR ELECTRICITY GENERATION DECARBONISATION IN SPAIN
</t>
    </r>
    <r>
      <rPr>
        <i/>
        <sz val="10"/>
        <color theme="1"/>
        <rFont val="Calibri"/>
        <family val="2"/>
        <scheme val="minor"/>
      </rPr>
      <t>Based on the needed electricity mix proportions to get to a net zero energy system, as shown in IEA Net Zero Report (2020)</t>
    </r>
    <r>
      <rPr>
        <b/>
        <sz val="11"/>
        <color theme="1"/>
        <rFont val="Calibri"/>
        <family val="2"/>
        <scheme val="minor"/>
      </rPr>
      <t xml:space="preserve"> </t>
    </r>
  </si>
  <si>
    <r>
      <t xml:space="preserve">HIGH RES SCENARIO - AN IAM FOR ELECTRICITY GENERATION DECARBONISATION IN SPAIN
</t>
    </r>
    <r>
      <rPr>
        <i/>
        <sz val="10"/>
        <color theme="1"/>
        <rFont val="Calibri"/>
        <family val="2"/>
        <scheme val="minor"/>
      </rPr>
      <t>Based on the High RES scenario shown in the European Commission Energy Roadmap to 2050 (2011)</t>
    </r>
  </si>
  <si>
    <r>
      <t xml:space="preserve">LOW NUCLEAR SCENARIO - AN IAM FOR ELECTRICITY GENERATION DECARBONISATION IN SPAIN
</t>
    </r>
    <r>
      <rPr>
        <i/>
        <sz val="10"/>
        <color theme="1"/>
        <rFont val="Calibri"/>
        <family val="2"/>
        <scheme val="minor"/>
      </rPr>
      <t>Based on the low nuclear scenario shown in the European Commission Energy Roadmap to 2050 (2011)</t>
    </r>
  </si>
  <si>
    <r>
      <t xml:space="preserve">ENERGY EFFICIENCY SCENARIO - AN IAM FOR ELECTRICITY GENERATION DECARBONISATION IN SPAIN 
</t>
    </r>
    <r>
      <rPr>
        <i/>
        <sz val="10"/>
        <color theme="1"/>
        <rFont val="Calibri"/>
        <family val="2"/>
        <scheme val="minor"/>
      </rPr>
      <t>Based on the energy efficiency scenario shown in the European Commission Energy Roadmap to 2050 (2011)</t>
    </r>
  </si>
  <si>
    <t>exogeneous from Lazard (2021), $/MWh</t>
  </si>
  <si>
    <t>exogeneous from IRENA (2022), $/MWh</t>
  </si>
  <si>
    <t>exogeneous from Fraunhofer (2021), $/MWh</t>
  </si>
  <si>
    <t xml:space="preserve">Projections by 2040 for the particular case of Germany are already provided in the report: changing the units of the report to US $/MWh the results for 2040 are 44.5 for Solar PV, 46.65 for Solar PV with storage and 67.1 for wind (average including onshore and offshore)  </t>
  </si>
  <si>
    <t>Projections by 2050 are already provided in the report and are included in all scenarios in the model</t>
  </si>
  <si>
    <t>5.7% for wind and 8% for solar per year for the period 2010-2021</t>
  </si>
  <si>
    <t>6% for wind and 7.5% for solar per year for the period 2009-2021</t>
  </si>
  <si>
    <r>
      <t xml:space="preserve">Wind
</t>
    </r>
    <r>
      <rPr>
        <i/>
        <sz val="10"/>
        <rFont val="Calibri"/>
        <family val="2"/>
        <scheme val="minor"/>
      </rPr>
      <t>LCOE</t>
    </r>
  </si>
  <si>
    <t>LCOEs categories</t>
  </si>
  <si>
    <t>Baseline - LCOEs from IEA (2021)</t>
  </si>
  <si>
    <t>LCOEs from Lazard (2021), no storage</t>
  </si>
  <si>
    <t>LCOEs from Lazard (2021), with storage</t>
  </si>
  <si>
    <t>LCOEs from Fraunhofer (2021), no storage</t>
  </si>
  <si>
    <t>LCOEs from Fraunhofer (2021), with storage</t>
  </si>
  <si>
    <t>LCOEs from IRENA (2022)</t>
  </si>
  <si>
    <t>endogeneous, calculated from B), million EUR</t>
  </si>
  <si>
    <t>Additional costs per MWh for additional electricity interconnections for renewables</t>
  </si>
  <si>
    <t>US $ per MWh</t>
  </si>
  <si>
    <t xml:space="preserve">Red Eléctrica de España 2019b. Calculated taking as a starting point the additional investment needs foreseen in the report for the deployment of 89 GW of wind and solar  (1872 M€) for a period of six years (2021-2026). </t>
  </si>
  <si>
    <t>European Central Bank (2023), from 03/03/2023</t>
  </si>
  <si>
    <r>
      <t xml:space="preserve">Solar
</t>
    </r>
    <r>
      <rPr>
        <i/>
        <sz val="8"/>
        <rFont val="Calibri"/>
        <family val="2"/>
        <scheme val="minor"/>
      </rPr>
      <t>LCOE + AIC (*)</t>
    </r>
  </si>
  <si>
    <r>
      <t xml:space="preserve">Wind
</t>
    </r>
    <r>
      <rPr>
        <i/>
        <sz val="8"/>
        <rFont val="Calibri"/>
        <family val="2"/>
        <scheme val="minor"/>
      </rPr>
      <t>LCOE + AIC (*)</t>
    </r>
  </si>
  <si>
    <t>Data for the particular case of Germany. As for all other cases, we take values for utitlity-scale PV. In this report, data on energy storage cost is not provided as an independent data point. The values for the different LCOEs are taken as an estimation from the values in Figure 5 of the report (page 17). Nuclear is not part of the scope of the report.</t>
  </si>
  <si>
    <t>N/A 
(provided only for Solar PV)</t>
  </si>
  <si>
    <r>
      <t xml:space="preserve">Estimated total investment needs in energy storage for RES
</t>
    </r>
    <r>
      <rPr>
        <sz val="9"/>
        <rFont val="Calibri"/>
        <family val="2"/>
        <scheme val="minor"/>
      </rPr>
      <t>i</t>
    </r>
    <r>
      <rPr>
        <sz val="8"/>
        <rFont val="Calibri"/>
        <family val="2"/>
        <scheme val="minor"/>
      </rPr>
      <t>n billion EUR</t>
    </r>
  </si>
  <si>
    <r>
      <t xml:space="preserve">Estimated total investment needs in energy interconnections for RES
</t>
    </r>
    <r>
      <rPr>
        <sz val="9"/>
        <rFont val="Calibri"/>
        <family val="2"/>
        <scheme val="minor"/>
      </rPr>
      <t>i</t>
    </r>
    <r>
      <rPr>
        <sz val="8"/>
        <rFont val="Calibri"/>
        <family val="2"/>
        <scheme val="minor"/>
      </rPr>
      <t>n billion EUR</t>
    </r>
  </si>
  <si>
    <t>Composition of investment needs for High RES scenario</t>
  </si>
  <si>
    <r>
      <t xml:space="preserve">Estimated total investment needs in wind and solar deployment </t>
    </r>
    <r>
      <rPr>
        <i/>
        <sz val="8"/>
        <rFont val="Calibri"/>
        <family val="2"/>
        <scheme val="minor"/>
      </rPr>
      <t>(without counting storage and interconnections)</t>
    </r>
    <r>
      <rPr>
        <b/>
        <sz val="10"/>
        <rFont val="Calibri"/>
        <family val="2"/>
        <scheme val="minor"/>
      </rPr>
      <t xml:space="preserve">
</t>
    </r>
    <r>
      <rPr>
        <sz val="9"/>
        <rFont val="Calibri"/>
        <family val="2"/>
        <scheme val="minor"/>
      </rPr>
      <t>i</t>
    </r>
    <r>
      <rPr>
        <sz val="8"/>
        <rFont val="Calibri"/>
        <family val="2"/>
        <scheme val="minor"/>
      </rPr>
      <t>n billion EUR</t>
    </r>
  </si>
  <si>
    <t>STORE-RES_Q(t)</t>
  </si>
  <si>
    <t>INTERC-RES_Q(t)</t>
  </si>
  <si>
    <t>DEPLOY-RES_Q(t)</t>
  </si>
  <si>
    <t>exogeneous - LCOE from Fraunhofer (2021); Additional Interconnection Cost (AIC) from REE (2019), $/MWh</t>
  </si>
  <si>
    <r>
      <t xml:space="preserve">(*) </t>
    </r>
    <r>
      <rPr>
        <b/>
        <i/>
        <sz val="9"/>
        <color theme="1"/>
        <rFont val="Calibri"/>
        <family val="2"/>
        <scheme val="minor"/>
      </rPr>
      <t>LCOE</t>
    </r>
    <r>
      <rPr>
        <i/>
        <sz val="9"/>
        <color theme="1"/>
        <rFont val="Calibri"/>
        <family val="2"/>
        <scheme val="minor"/>
      </rPr>
      <t xml:space="preserve"> stands for Levelized Cost of Electricity - Net present value of an electricity installation over its lifetime. They are taken from Fraunhofer (2021) study on Levelized Cost of Electricity Renewable Energy Technologies.
</t>
    </r>
    <r>
      <rPr>
        <b/>
        <i/>
        <sz val="9"/>
        <color theme="1"/>
        <rFont val="Calibri"/>
        <family val="2"/>
        <scheme val="minor"/>
      </rPr>
      <t xml:space="preserve">AIC </t>
    </r>
    <r>
      <rPr>
        <i/>
        <sz val="9"/>
        <color theme="1"/>
        <rFont val="Calibri"/>
        <family val="2"/>
        <scheme val="minor"/>
      </rPr>
      <t>stands for Additional Interconnection Costs and these are calculated taking as a starting point the additional investment needs foreseen in the Red Eléctrica de España (2019) "Plan de desarrollo de la Red de Transporte de Energía Eléctrica 2021-2026", which foresees a the deployment of 89 GW of wind and solar (1872 M€) for a period of six years (2021-2026).</t>
    </r>
  </si>
  <si>
    <r>
      <t xml:space="preserve">(*) </t>
    </r>
    <r>
      <rPr>
        <b/>
        <i/>
        <sz val="9"/>
        <rFont val="Calibri"/>
        <family val="2"/>
        <scheme val="minor"/>
      </rPr>
      <t>LCOE</t>
    </r>
    <r>
      <rPr>
        <i/>
        <sz val="9"/>
        <rFont val="Calibri"/>
        <family val="2"/>
        <scheme val="minor"/>
      </rPr>
      <t xml:space="preserve"> stands for Levelized Cost of Electricity - Net present value of an electricity installation over its lifetime. They are taken from Fraunhofer (2021) study on Levelized Cost of Electricity Renewable Energy Technologies.
</t>
    </r>
    <r>
      <rPr>
        <b/>
        <i/>
        <sz val="9"/>
        <rFont val="Calibri"/>
        <family val="2"/>
        <scheme val="minor"/>
      </rPr>
      <t>AIC</t>
    </r>
    <r>
      <rPr>
        <i/>
        <sz val="9"/>
        <rFont val="Calibri"/>
        <family val="2"/>
        <scheme val="minor"/>
      </rPr>
      <t xml:space="preserve"> stands for Additional Interconnection Costs and these are calculated taking as a starting point the additional investment needs foreseen in the Red Eléctrica de España (2019) "Plan de desarrollo de la Red de Transporte de Energía Eléctrica 2021-2026", which foresees a the deployment of 89 GW of wind and solar (1872 M€) for a period of six years (2021-2026).</t>
    </r>
  </si>
  <si>
    <r>
      <t xml:space="preserve">(*) </t>
    </r>
    <r>
      <rPr>
        <b/>
        <i/>
        <sz val="9"/>
        <rFont val="Calibri"/>
        <family val="2"/>
        <scheme val="minor"/>
      </rPr>
      <t>LCOE</t>
    </r>
    <r>
      <rPr>
        <i/>
        <sz val="9"/>
        <rFont val="Calibri"/>
        <family val="2"/>
        <scheme val="minor"/>
      </rPr>
      <t xml:space="preserve"> stands for Levelized Cost of Electricity - Net present value of an electricity installation over its lifetime. They are taken fromFraunhofer (2021) study on Levelized Cost of Electricity Renewable Energy Technologies.
</t>
    </r>
    <r>
      <rPr>
        <b/>
        <i/>
        <sz val="9"/>
        <rFont val="Calibri"/>
        <family val="2"/>
        <scheme val="minor"/>
      </rPr>
      <t>AIC</t>
    </r>
    <r>
      <rPr>
        <i/>
        <sz val="9"/>
        <rFont val="Calibri"/>
        <family val="2"/>
        <scheme val="minor"/>
      </rPr>
      <t xml:space="preserve"> stands for Additional Interconnection Costs and these are calculated taking as a starting point the additional investment needs foreseen in the Red Eléctrica de España (2019) "Plan de desarrollo de la Red de Transporte de Energía Eléctrica 2021-2026", which foresees a the deployment of 89 GW of wind and solar (1872 M€) for a period of six years (2021-2026).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</si>
</sst>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0.000"/>
    <numFmt numFmtId="165" formatCode="0.0000"/>
    <numFmt numFmtId="166" formatCode="0.0"/>
    <numFmt numFmtId="167" formatCode="#,##0_ ;\-#,##0\ "/>
    <numFmt numFmtId="168" formatCode="#,##0.00_ ;\-#,##0.00\ "/>
    <numFmt numFmtId="169" formatCode="???,???.00"/>
    <numFmt numFmtId="170" formatCode="#,##0.0000"/>
    <numFmt numFmtId="171" formatCode="#,##0.000_ ;\-#,##0.000\ "/>
    <numFmt numFmtId="172" formatCode="#,##0.0000_ ;\-#,##0.0000\ "/>
    <numFmt numFmtId="173" formatCode="#,##0.00000000_ ;\-#,##0.00000000\ "/>
    <numFmt numFmtId="174" formatCode="0.000%"/>
    <numFmt numFmtId="175" formatCode="0.00000"/>
    <numFmt numFmtId="176" formatCode="#,##0.0000000000000_ ;\-#,##0.0000000000000\ "/>
    <numFmt numFmtId="177" formatCode="#,##0.0000000_ ;\-#,##0.0000000\ "/>
    <numFmt numFmtId="178" formatCode="#,##0.0_ ;\-#,##0.0\ "/>
  </numFmts>
  <fonts count="68" x14ac:knownFonts="1">
    <font>
      <sz val="11"/>
      <color theme="1"/>
      <name val="Calibri"/>
      <family val="2"/>
      <scheme val="minor"/>
    </font>
    <font>
      <i/>
      <sz val="11"/>
      <color theme="1"/>
      <name val="Calibri"/>
      <family val="2"/>
      <scheme val="minor"/>
    </font>
    <font>
      <b/>
      <sz val="11"/>
      <name val="Calibri"/>
      <family val="2"/>
      <scheme val="minor"/>
    </font>
    <font>
      <sz val="10"/>
      <color theme="1"/>
      <name val="Calibri"/>
      <family val="2"/>
      <scheme val="minor"/>
    </font>
    <font>
      <b/>
      <i/>
      <sz val="11"/>
      <color theme="1"/>
      <name val="Calibri"/>
      <family val="2"/>
      <scheme val="minor"/>
    </font>
    <font>
      <sz val="10"/>
      <name val="Calibri"/>
      <family val="2"/>
      <scheme val="minor"/>
    </font>
    <font>
      <b/>
      <sz val="10"/>
      <color theme="1"/>
      <name val="Calibri"/>
      <family val="2"/>
      <scheme val="minor"/>
    </font>
    <font>
      <b/>
      <sz val="11"/>
      <color theme="1"/>
      <name val="Calibri"/>
      <family val="2"/>
      <scheme val="minor"/>
    </font>
    <font>
      <sz val="11"/>
      <color theme="0"/>
      <name val="Calibri"/>
      <family val="2"/>
      <scheme val="minor"/>
    </font>
    <font>
      <b/>
      <sz val="8"/>
      <color theme="1"/>
      <name val="Calibri"/>
      <family val="2"/>
      <scheme val="minor"/>
    </font>
    <font>
      <sz val="8"/>
      <color theme="1"/>
      <name val="Calibri"/>
      <family val="2"/>
      <scheme val="minor"/>
    </font>
    <font>
      <sz val="8"/>
      <name val="Calibri"/>
      <family val="2"/>
      <scheme val="minor"/>
    </font>
    <font>
      <b/>
      <sz val="10"/>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0"/>
      <name val="Arial"/>
      <family val="2"/>
    </font>
    <font>
      <sz val="8"/>
      <name val="Arial"/>
      <family val="2"/>
    </font>
    <font>
      <sz val="12"/>
      <name val="Arial"/>
      <family val="2"/>
    </font>
    <font>
      <sz val="12"/>
      <name val="Arial"/>
      <family val="2"/>
    </font>
    <font>
      <sz val="10"/>
      <name val="Arial"/>
      <family val="2"/>
    </font>
    <font>
      <sz val="8"/>
      <name val="Arial"/>
      <family val="2"/>
      <charset val="161"/>
    </font>
    <font>
      <sz val="9"/>
      <name val="Arial"/>
      <family val="2"/>
    </font>
    <font>
      <sz val="9"/>
      <name val="Times New Roman"/>
      <family val="1"/>
    </font>
    <font>
      <b/>
      <sz val="9"/>
      <name val="Times New Roman"/>
      <family val="1"/>
    </font>
    <font>
      <b/>
      <sz val="12"/>
      <name val="Times New Roman"/>
      <family val="1"/>
    </font>
    <font>
      <sz val="8"/>
      <name val="Helvetica"/>
    </font>
    <font>
      <b/>
      <sz val="12"/>
      <color indexed="10"/>
      <name val="Arial"/>
      <family val="2"/>
    </font>
    <font>
      <sz val="10"/>
      <name val="Arial"/>
      <family val="2"/>
      <charset val="161"/>
    </font>
    <font>
      <sz val="9"/>
      <color theme="1"/>
      <name val="Calibri"/>
      <family val="2"/>
      <scheme val="minor"/>
    </font>
    <font>
      <b/>
      <sz val="8"/>
      <name val="Arial"/>
      <family val="2"/>
    </font>
    <font>
      <sz val="8"/>
      <color theme="0"/>
      <name val="Calibri"/>
      <family val="2"/>
      <scheme val="minor"/>
    </font>
    <font>
      <sz val="11"/>
      <name val="Arial"/>
      <family val="2"/>
    </font>
    <font>
      <b/>
      <sz val="16"/>
      <name val="Arial"/>
      <family val="2"/>
    </font>
    <font>
      <b/>
      <sz val="14"/>
      <color rgb="FF002060"/>
      <name val="Calibri"/>
      <family val="2"/>
      <scheme val="minor"/>
    </font>
    <font>
      <i/>
      <sz val="10"/>
      <color theme="1" tint="0.34998626667073579"/>
      <name val="Calibri"/>
      <family val="2"/>
      <scheme val="minor"/>
    </font>
    <font>
      <b/>
      <sz val="8"/>
      <name val="Calibri"/>
      <family val="2"/>
      <scheme val="minor"/>
    </font>
    <font>
      <i/>
      <sz val="8"/>
      <name val="Calibri"/>
      <family val="2"/>
      <scheme val="minor"/>
    </font>
    <font>
      <i/>
      <sz val="10"/>
      <name val="Calibri"/>
      <family val="2"/>
      <scheme val="minor"/>
    </font>
    <font>
      <i/>
      <sz val="9"/>
      <color theme="1"/>
      <name val="Calibri"/>
      <family val="2"/>
      <scheme val="minor"/>
    </font>
    <font>
      <b/>
      <i/>
      <sz val="9"/>
      <color theme="1"/>
      <name val="Calibri"/>
      <family val="2"/>
      <scheme val="minor"/>
    </font>
    <font>
      <sz val="8"/>
      <color theme="4"/>
      <name val="Arial"/>
      <family val="2"/>
    </font>
    <font>
      <sz val="8"/>
      <color theme="1"/>
      <name val="Arial"/>
      <family val="2"/>
    </font>
    <font>
      <i/>
      <sz val="9"/>
      <name val="Calibri"/>
      <family val="2"/>
      <scheme val="minor"/>
    </font>
    <font>
      <i/>
      <sz val="10"/>
      <color theme="1"/>
      <name val="Calibri"/>
      <family val="2"/>
      <scheme val="minor"/>
    </font>
    <font>
      <sz val="11"/>
      <name val="Calibri"/>
      <family val="2"/>
      <scheme val="minor"/>
    </font>
    <font>
      <b/>
      <sz val="8"/>
      <color rgb="FFFF0000"/>
      <name val="Calibri"/>
      <family val="2"/>
      <scheme val="minor"/>
    </font>
    <font>
      <sz val="8"/>
      <name val="Arial"/>
      <family val="2"/>
    </font>
    <font>
      <u/>
      <sz val="11"/>
      <color theme="10"/>
      <name val="Calibri"/>
      <family val="2"/>
      <scheme val="minor"/>
    </font>
    <font>
      <b/>
      <sz val="8"/>
      <color theme="1"/>
      <name val="Arial"/>
      <family val="2"/>
    </font>
    <font>
      <u/>
      <sz val="8"/>
      <color theme="10"/>
      <name val="Arial"/>
      <family val="2"/>
    </font>
    <font>
      <i/>
      <sz val="8"/>
      <name val="Arial"/>
      <family val="2"/>
    </font>
    <font>
      <i/>
      <sz val="9"/>
      <color theme="0" tint="-0.34998626667073579"/>
      <name val="Calibri"/>
      <family val="2"/>
      <scheme val="minor"/>
    </font>
    <font>
      <b/>
      <i/>
      <sz val="9"/>
      <name val="Calibri"/>
      <family val="2"/>
      <scheme val="minor"/>
    </font>
    <font>
      <b/>
      <sz val="11"/>
      <color rgb="FF002060"/>
      <name val="Calibri"/>
      <family val="2"/>
      <scheme val="minor"/>
    </font>
    <font>
      <sz val="9"/>
      <name val="Calibri"/>
      <family val="2"/>
      <scheme val="minor"/>
    </font>
  </fonts>
  <fills count="45">
    <fill>
      <patternFill patternType="none"/>
    </fill>
    <fill>
      <patternFill patternType="gray125"/>
    </fill>
    <fill>
      <patternFill patternType="solid">
        <fgColor theme="9" tint="0.39997558519241921"/>
        <bgColor indexed="64"/>
      </patternFill>
    </fill>
    <fill>
      <patternFill patternType="solid">
        <fgColor theme="7"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darkTrellis"/>
    </fill>
    <fill>
      <patternFill patternType="solid">
        <fgColor theme="3" tint="0.79998168889431442"/>
        <bgColor indexed="64"/>
      </patternFill>
    </fill>
    <fill>
      <patternFill patternType="solid">
        <fgColor rgb="FFC00000"/>
        <bgColor indexed="64"/>
      </patternFill>
    </fill>
    <fill>
      <patternFill patternType="solid">
        <fgColor theme="8" tint="-0.499984740745262"/>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indexed="64"/>
      </patternFill>
    </fill>
  </fills>
  <borders count="4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C0C0C0"/>
      </left>
      <right style="thin">
        <color rgb="FFC0C0C0"/>
      </right>
      <top style="thin">
        <color rgb="FFC0C0C0"/>
      </top>
      <bottom style="thin">
        <color rgb="FFC0C0C0"/>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uble">
        <color indexed="64"/>
      </left>
      <right/>
      <top style="double">
        <color indexed="64"/>
      </top>
      <bottom style="double">
        <color indexed="64"/>
      </bottom>
      <diagonal/>
    </border>
    <border>
      <left style="thin">
        <color theme="2" tint="-0.24994659260841701"/>
      </left>
      <right style="thin">
        <color theme="2" tint="-0.24994659260841701"/>
      </right>
      <top style="thin">
        <color rgb="FFC0C0C0"/>
      </top>
      <bottom style="thin">
        <color rgb="FFC0C0C0"/>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right/>
      <top/>
      <bottom style="thin">
        <color theme="2" tint="-0.24994659260841701"/>
      </bottom>
      <diagonal/>
    </border>
    <border>
      <left style="thin">
        <color theme="0" tint="-0.14996795556505021"/>
      </left>
      <right style="thin">
        <color theme="0" tint="-0.14996795556505021"/>
      </right>
      <top/>
      <bottom/>
      <diagonal/>
    </border>
    <border>
      <left/>
      <right/>
      <top style="thin">
        <color rgb="FFC0C0C0"/>
      </top>
      <bottom style="thin">
        <color rgb="FFC0C0C0"/>
      </bottom>
      <diagonal/>
    </border>
    <border>
      <left style="thin">
        <color theme="2" tint="-0.24994659260841701"/>
      </left>
      <right/>
      <top style="thin">
        <color rgb="FFC0C0C0"/>
      </top>
      <bottom style="thin">
        <color rgb="FFC0C0C0"/>
      </bottom>
      <diagonal/>
    </border>
    <border>
      <left/>
      <right style="thin">
        <color theme="2" tint="-0.24994659260841701"/>
      </right>
      <top style="thin">
        <color rgb="FFC0C0C0"/>
      </top>
      <bottom style="thin">
        <color rgb="FFC0C0C0"/>
      </bottom>
      <diagonal/>
    </border>
    <border>
      <left style="thick">
        <color auto="1"/>
      </left>
      <right style="thin">
        <color theme="2" tint="-0.24994659260841701"/>
      </right>
      <top style="thin">
        <color theme="2" tint="-0.24994659260841701"/>
      </top>
      <bottom style="thin">
        <color theme="2" tint="-0.24994659260841701"/>
      </bottom>
      <diagonal/>
    </border>
    <border>
      <left style="thick">
        <color auto="1"/>
      </left>
      <right/>
      <top/>
      <bottom/>
      <diagonal/>
    </border>
    <border>
      <left style="thick">
        <color auto="1"/>
      </left>
      <right style="thin">
        <color theme="2" tint="-0.24994659260841701"/>
      </right>
      <top style="thin">
        <color rgb="FFC0C0C0"/>
      </top>
      <bottom style="thin">
        <color rgb="FFC0C0C0"/>
      </bottom>
      <diagonal/>
    </border>
    <border>
      <left style="thick">
        <color auto="1"/>
      </left>
      <right/>
      <top style="thin">
        <color theme="2" tint="-0.24994659260841701"/>
      </top>
      <bottom style="thin">
        <color theme="2" tint="-0.24994659260841701"/>
      </bottom>
      <diagonal/>
    </border>
    <border>
      <left style="thick">
        <color auto="1"/>
      </left>
      <right/>
      <top style="thin">
        <color theme="2" tint="-0.24994659260841701"/>
      </top>
      <bottom/>
      <diagonal/>
    </border>
    <border>
      <left style="thin">
        <color theme="0" tint="-0.34998626667073579"/>
      </left>
      <right style="thin">
        <color theme="2" tint="-0.24994659260841701"/>
      </right>
      <top style="thin">
        <color rgb="FFC0C0C0"/>
      </top>
      <bottom style="thin">
        <color rgb="FFC0C0C0"/>
      </bottom>
      <diagonal/>
    </border>
    <border>
      <left style="thick">
        <color auto="1"/>
      </left>
      <right/>
      <top style="thin">
        <color rgb="FFC0C0C0"/>
      </top>
      <bottom style="thin">
        <color rgb="FFC0C0C0"/>
      </bottom>
      <diagonal/>
    </border>
    <border>
      <left style="thin">
        <color theme="0" tint="-0.34998626667073579"/>
      </left>
      <right/>
      <top style="thin">
        <color rgb="FFC0C0C0"/>
      </top>
      <bottom style="thin">
        <color rgb="FFC0C0C0"/>
      </bottom>
      <diagonal/>
    </border>
    <border>
      <left/>
      <right style="thin">
        <color theme="0" tint="-0.14996795556505021"/>
      </right>
      <top style="thin">
        <color theme="0" tint="-0.14993743705557422"/>
      </top>
      <bottom style="thin">
        <color theme="0" tint="-0.14993743705557422"/>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style="thin">
        <color theme="0" tint="-0.14993743705557422"/>
      </top>
      <bottom style="thin">
        <color theme="0" tint="-0.1499374370555742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top/>
      <bottom style="thin">
        <color theme="2" tint="-0.24994659260841701"/>
      </bottom>
      <diagonal/>
    </border>
    <border>
      <left/>
      <right style="thin">
        <color theme="2" tint="-0.24994659260841701"/>
      </right>
      <top/>
      <bottom style="thin">
        <color theme="2" tint="-0.24994659260841701"/>
      </bottom>
      <diagonal/>
    </border>
    <border>
      <left style="thin">
        <color theme="2" tint="-0.24994659260841701"/>
      </left>
      <right/>
      <top/>
      <bottom/>
      <diagonal/>
    </border>
    <border>
      <left style="thick">
        <color auto="1"/>
      </left>
      <right/>
      <top/>
      <bottom style="thin">
        <color rgb="FFC0C0C0"/>
      </bottom>
      <diagonal/>
    </border>
    <border>
      <left/>
      <right style="thin">
        <color theme="2" tint="-0.24994659260841701"/>
      </right>
      <top/>
      <bottom/>
      <diagonal/>
    </border>
    <border>
      <left style="medium">
        <color rgb="FFC00000"/>
      </left>
      <right style="medium">
        <color rgb="FFC00000"/>
      </right>
      <top style="medium">
        <color rgb="FFC00000"/>
      </top>
      <bottom/>
      <diagonal/>
    </border>
    <border>
      <left style="medium">
        <color rgb="FFC00000"/>
      </left>
      <right style="medium">
        <color rgb="FFC00000"/>
      </right>
      <top/>
      <bottom/>
      <diagonal/>
    </border>
    <border>
      <left style="medium">
        <color rgb="FFC00000"/>
      </left>
      <right style="medium">
        <color rgb="FFC00000"/>
      </right>
      <top style="thin">
        <color rgb="FFC0C0C0"/>
      </top>
      <bottom style="thin">
        <color rgb="FFC0C0C0"/>
      </bottom>
      <diagonal/>
    </border>
    <border>
      <left style="medium">
        <color rgb="FFC00000"/>
      </left>
      <right style="medium">
        <color rgb="FFC00000"/>
      </right>
      <top style="thin">
        <color rgb="FFC0C0C0"/>
      </top>
      <bottom style="medium">
        <color rgb="FFC00000"/>
      </bottom>
      <diagonal/>
    </border>
  </borders>
  <cellStyleXfs count="88">
    <xf numFmtId="0" fontId="0" fillId="0" borderId="0"/>
    <xf numFmtId="0" fontId="14" fillId="0" borderId="0" applyNumberFormat="0" applyFill="0" applyBorder="0" applyAlignment="0" applyProtection="0"/>
    <xf numFmtId="0" fontId="15" fillId="0" borderId="1" applyNumberFormat="0" applyFill="0" applyAlignment="0" applyProtection="0"/>
    <xf numFmtId="0" fontId="16" fillId="0" borderId="2" applyNumberFormat="0" applyFill="0" applyAlignment="0" applyProtection="0"/>
    <xf numFmtId="0" fontId="17" fillId="0" borderId="3" applyNumberFormat="0" applyFill="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5" borderId="0" applyNumberFormat="0" applyBorder="0" applyAlignment="0" applyProtection="0"/>
    <xf numFmtId="0" fontId="20" fillId="6" borderId="0" applyNumberFormat="0" applyBorder="0" applyAlignment="0" applyProtection="0"/>
    <xf numFmtId="0" fontId="21" fillId="7" borderId="4" applyNumberFormat="0" applyAlignment="0" applyProtection="0"/>
    <xf numFmtId="0" fontId="22" fillId="8" borderId="5" applyNumberFormat="0" applyAlignment="0" applyProtection="0"/>
    <xf numFmtId="0" fontId="23" fillId="8" borderId="4" applyNumberFormat="0" applyAlignment="0" applyProtection="0"/>
    <xf numFmtId="0" fontId="24" fillId="0" borderId="6" applyNumberFormat="0" applyFill="0" applyAlignment="0" applyProtection="0"/>
    <xf numFmtId="0" fontId="25" fillId="9" borderId="7" applyNumberFormat="0" applyAlignment="0" applyProtection="0"/>
    <xf numFmtId="0" fontId="26" fillId="0" borderId="0" applyNumberFormat="0" applyFill="0" applyBorder="0" applyAlignment="0" applyProtection="0"/>
    <xf numFmtId="0" fontId="13" fillId="10" borderId="8" applyNumberFormat="0" applyFont="0" applyAlignment="0" applyProtection="0"/>
    <xf numFmtId="0" fontId="27" fillId="0" borderId="0" applyNumberFormat="0" applyFill="0" applyBorder="0" applyAlignment="0" applyProtection="0"/>
    <xf numFmtId="0" fontId="7" fillId="0" borderId="9" applyNumberFormat="0" applyFill="0" applyAlignment="0" applyProtection="0"/>
    <xf numFmtId="0" fontId="8"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8"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8"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8" fillId="23"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8"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8" fillId="31"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3" fillId="34" borderId="0" applyNumberFormat="0" applyBorder="0" applyAlignment="0" applyProtection="0"/>
    <xf numFmtId="0" fontId="28" fillId="0" borderId="0"/>
    <xf numFmtId="0" fontId="30" fillId="0" borderId="0"/>
    <xf numFmtId="9" fontId="31" fillId="0" borderId="0" applyFont="0" applyFill="0" applyBorder="0" applyAlignment="0" applyProtection="0"/>
    <xf numFmtId="0" fontId="31" fillId="0" borderId="0"/>
    <xf numFmtId="4" fontId="35" fillId="0" borderId="13" applyFill="0" applyBorder="0" applyProtection="0">
      <alignment horizontal="right" vertical="center"/>
    </xf>
    <xf numFmtId="166" fontId="32" fillId="0" borderId="0" applyFont="0" applyFill="0" applyBorder="0" applyAlignment="0" applyProtection="0"/>
    <xf numFmtId="0" fontId="29" fillId="0" borderId="0"/>
    <xf numFmtId="9" fontId="29" fillId="0" borderId="0" applyFont="0" applyFill="0" applyBorder="0" applyAlignment="0" applyProtection="0"/>
    <xf numFmtId="169" fontId="34" fillId="0" borderId="0" applyNumberFormat="0" applyProtection="0">
      <alignment horizontal="center" vertical="center"/>
    </xf>
    <xf numFmtId="43" fontId="13" fillId="0" borderId="0" applyFont="0" applyFill="0" applyBorder="0" applyAlignment="0" applyProtection="0"/>
    <xf numFmtId="9" fontId="32" fillId="0" borderId="0" applyFont="0" applyFill="0" applyBorder="0" applyAlignment="0" applyProtection="0"/>
    <xf numFmtId="0" fontId="32" fillId="0" borderId="0"/>
    <xf numFmtId="0" fontId="37" fillId="0" borderId="0" applyNumberFormat="0" applyFill="0" applyBorder="0" applyAlignment="0" applyProtection="0"/>
    <xf numFmtId="0" fontId="33" fillId="0" borderId="0"/>
    <xf numFmtId="49" fontId="35" fillId="0" borderId="11" applyNumberFormat="0" applyFont="0" applyFill="0" applyBorder="0" applyProtection="0">
      <alignment horizontal="left" vertical="center" indent="5"/>
    </xf>
    <xf numFmtId="170" fontId="35" fillId="36" borderId="13" applyNumberFormat="0" applyFont="0" applyBorder="0" applyAlignment="0" applyProtection="0">
      <alignment horizontal="right" vertical="center"/>
    </xf>
    <xf numFmtId="0" fontId="29" fillId="0" borderId="0"/>
    <xf numFmtId="0" fontId="40" fillId="0" borderId="0"/>
    <xf numFmtId="43" fontId="13"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0" fontId="38" fillId="35" borderId="0" applyNumberFormat="0" applyFont="0" applyBorder="0" applyAlignment="0" applyProtection="0"/>
    <xf numFmtId="0" fontId="13" fillId="0" borderId="0"/>
    <xf numFmtId="4" fontId="36" fillId="0" borderId="12" applyFill="0" applyBorder="0" applyProtection="0">
      <alignment horizontal="right" vertical="center"/>
    </xf>
    <xf numFmtId="0" fontId="32" fillId="0" borderId="0"/>
    <xf numFmtId="0" fontId="32" fillId="0" borderId="0"/>
    <xf numFmtId="0" fontId="35" fillId="0" borderId="13" applyNumberFormat="0" applyFill="0" applyAlignment="0" applyProtection="0"/>
    <xf numFmtId="43" fontId="13" fillId="0" borderId="0" applyFont="0" applyFill="0" applyBorder="0" applyAlignment="0" applyProtection="0"/>
    <xf numFmtId="0" fontId="35" fillId="0" borderId="0"/>
    <xf numFmtId="9" fontId="41" fillId="0" borderId="0" applyFont="0" applyFill="0" applyBorder="0" applyAlignment="0" applyProtection="0"/>
    <xf numFmtId="0" fontId="39" fillId="0" borderId="14">
      <alignment horizontal="center"/>
      <protection hidden="1"/>
    </xf>
    <xf numFmtId="0" fontId="13" fillId="0" borderId="0"/>
    <xf numFmtId="43" fontId="33"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44" fillId="0" borderId="0"/>
    <xf numFmtId="9" fontId="13" fillId="0" borderId="0" applyFont="0" applyFill="0" applyBorder="0" applyAlignment="0" applyProtection="0"/>
    <xf numFmtId="0" fontId="59" fillId="0" borderId="0"/>
    <xf numFmtId="9" fontId="28" fillId="0" borderId="0" applyFont="0" applyFill="0" applyBorder="0" applyAlignment="0" applyProtection="0"/>
    <xf numFmtId="0" fontId="28" fillId="0" borderId="0"/>
    <xf numFmtId="166" fontId="28" fillId="0" borderId="0" applyFont="0" applyFill="0" applyBorder="0" applyAlignment="0" applyProtection="0"/>
    <xf numFmtId="0" fontId="60" fillId="0" borderId="0" applyNumberFormat="0" applyFill="0" applyBorder="0" applyAlignment="0" applyProtection="0"/>
  </cellStyleXfs>
  <cellXfs count="193">
    <xf numFmtId="0" fontId="0" fillId="0" borderId="0" xfId="0"/>
    <xf numFmtId="164" fontId="0" fillId="0" borderId="0" xfId="0" applyNumberFormat="1" applyAlignment="1">
      <alignment horizontal="center"/>
    </xf>
    <xf numFmtId="0" fontId="0" fillId="0" borderId="0" xfId="0" applyFill="1"/>
    <xf numFmtId="0" fontId="4" fillId="0" borderId="0" xfId="0" applyNumberFormat="1" applyFont="1" applyAlignment="1">
      <alignment horizontal="center"/>
    </xf>
    <xf numFmtId="164" fontId="1" fillId="0" borderId="0" xfId="0" applyNumberFormat="1" applyFont="1" applyAlignment="1">
      <alignment horizontal="center"/>
    </xf>
    <xf numFmtId="2" fontId="0" fillId="0" borderId="0" xfId="0" applyNumberFormat="1" applyAlignment="1">
      <alignment horizontal="center"/>
    </xf>
    <xf numFmtId="0" fontId="0" fillId="0" borderId="0" xfId="0" applyAlignment="1">
      <alignment horizontal="center"/>
    </xf>
    <xf numFmtId="1" fontId="1" fillId="0" borderId="0" xfId="0" applyNumberFormat="1" applyFont="1" applyAlignment="1">
      <alignment horizontal="center"/>
    </xf>
    <xf numFmtId="2" fontId="1" fillId="0" borderId="0" xfId="0" applyNumberFormat="1" applyFont="1" applyAlignment="1">
      <alignment horizontal="center"/>
    </xf>
    <xf numFmtId="0" fontId="10" fillId="0" borderId="0" xfId="0" applyFont="1" applyAlignment="1">
      <alignment horizontal="center" wrapText="1"/>
    </xf>
    <xf numFmtId="0" fontId="12" fillId="2" borderId="0" xfId="0" applyFont="1" applyFill="1" applyAlignment="1">
      <alignment horizontal="center" vertical="center"/>
    </xf>
    <xf numFmtId="0" fontId="12" fillId="2" borderId="0" xfId="0" applyFont="1" applyFill="1" applyAlignment="1">
      <alignment horizontal="center" vertical="center" wrapText="1"/>
    </xf>
    <xf numFmtId="0" fontId="3" fillId="0" borderId="0" xfId="0" applyFont="1" applyAlignment="1">
      <alignment horizontal="center" vertical="center"/>
    </xf>
    <xf numFmtId="0" fontId="0" fillId="0" borderId="0" xfId="0" applyAlignment="1">
      <alignment horizontal="center"/>
    </xf>
    <xf numFmtId="167" fontId="29" fillId="0" borderId="15" xfId="53" applyNumberFormat="1" applyFont="1" applyBorder="1" applyAlignment="1">
      <alignment horizontal="right"/>
    </xf>
    <xf numFmtId="0" fontId="2" fillId="2" borderId="17" xfId="0" applyFont="1" applyFill="1" applyBorder="1" applyAlignment="1">
      <alignment horizontal="left"/>
    </xf>
    <xf numFmtId="0" fontId="6" fillId="0" borderId="16" xfId="0" applyFont="1" applyBorder="1" applyAlignment="1">
      <alignment horizontal="center" wrapText="1"/>
    </xf>
    <xf numFmtId="0" fontId="9" fillId="0" borderId="16" xfId="0" applyFont="1" applyBorder="1" applyAlignment="1">
      <alignment horizontal="center" wrapText="1"/>
    </xf>
    <xf numFmtId="0" fontId="10" fillId="37" borderId="16" xfId="0" applyFont="1" applyFill="1" applyBorder="1" applyAlignment="1">
      <alignment horizontal="center" wrapText="1"/>
    </xf>
    <xf numFmtId="0" fontId="43" fillId="38" borderId="16" xfId="0" applyFont="1" applyFill="1" applyBorder="1" applyAlignment="1">
      <alignment horizontal="center" wrapText="1"/>
    </xf>
    <xf numFmtId="2" fontId="29" fillId="0" borderId="15" xfId="53" applyNumberFormat="1" applyFont="1" applyBorder="1" applyAlignment="1">
      <alignment horizontal="right"/>
    </xf>
    <xf numFmtId="2" fontId="29" fillId="0" borderId="10" xfId="53" applyNumberFormat="1" applyFont="1" applyBorder="1" applyAlignment="1">
      <alignment horizontal="right"/>
    </xf>
    <xf numFmtId="1" fontId="42" fillId="0" borderId="15" xfId="53" applyNumberFormat="1" applyFont="1" applyBorder="1" applyAlignment="1">
      <alignment horizontal="right"/>
    </xf>
    <xf numFmtId="171" fontId="29" fillId="0" borderId="15" xfId="53" applyNumberFormat="1" applyFont="1" applyBorder="1" applyAlignment="1">
      <alignment horizontal="right"/>
    </xf>
    <xf numFmtId="164" fontId="29" fillId="0" borderId="10" xfId="53" applyNumberFormat="1" applyFont="1" applyBorder="1" applyAlignment="1">
      <alignment horizontal="right"/>
    </xf>
    <xf numFmtId="165" fontId="29" fillId="0" borderId="10" xfId="53" applyNumberFormat="1" applyFont="1" applyBorder="1" applyAlignment="1">
      <alignment horizontal="right"/>
    </xf>
    <xf numFmtId="0" fontId="43" fillId="39" borderId="16" xfId="0" applyFont="1" applyFill="1" applyBorder="1" applyAlignment="1">
      <alignment horizontal="center" wrapText="1"/>
    </xf>
    <xf numFmtId="164" fontId="29" fillId="0" borderId="15" xfId="53" applyNumberFormat="1" applyFont="1" applyBorder="1" applyAlignment="1">
      <alignment horizontal="right"/>
    </xf>
    <xf numFmtId="164" fontId="29" fillId="0" borderId="10" xfId="53" applyNumberFormat="1" applyFont="1" applyFill="1" applyBorder="1" applyAlignment="1">
      <alignment horizontal="right"/>
    </xf>
    <xf numFmtId="0" fontId="11" fillId="40" borderId="16" xfId="0" applyFont="1" applyFill="1" applyBorder="1" applyAlignment="1">
      <alignment horizontal="center" wrapText="1"/>
    </xf>
    <xf numFmtId="168" fontId="29" fillId="0" borderId="15" xfId="53" applyNumberFormat="1" applyFont="1" applyBorder="1" applyAlignment="1">
      <alignment horizontal="right"/>
    </xf>
    <xf numFmtId="0" fontId="46" fillId="0" borderId="0" xfId="0" applyFont="1"/>
    <xf numFmtId="172" fontId="29" fillId="0" borderId="15" xfId="53" applyNumberFormat="1" applyFont="1" applyBorder="1" applyAlignment="1">
      <alignment horizontal="right"/>
    </xf>
    <xf numFmtId="0" fontId="48" fillId="2" borderId="0" xfId="0" applyFont="1" applyFill="1" applyAlignment="1">
      <alignment horizontal="center" vertical="center" wrapText="1"/>
    </xf>
    <xf numFmtId="0" fontId="11" fillId="3" borderId="16" xfId="0" applyFont="1" applyFill="1" applyBorder="1" applyAlignment="1">
      <alignment horizontal="center" wrapText="1"/>
    </xf>
    <xf numFmtId="167" fontId="53" fillId="0" borderId="15" xfId="53" applyNumberFormat="1" applyFont="1" applyBorder="1" applyAlignment="1">
      <alignment horizontal="right"/>
    </xf>
    <xf numFmtId="0" fontId="6" fillId="0" borderId="16" xfId="0" applyFont="1" applyBorder="1" applyAlignment="1">
      <alignment horizontal="center" vertical="center" wrapText="1"/>
    </xf>
    <xf numFmtId="0" fontId="0" fillId="0" borderId="0" xfId="0" applyAlignment="1">
      <alignment horizontal="center" vertical="center"/>
    </xf>
    <xf numFmtId="1" fontId="29" fillId="0" borderId="15" xfId="53" applyNumberFormat="1" applyFont="1" applyBorder="1" applyAlignment="1">
      <alignment horizontal="right"/>
    </xf>
    <xf numFmtId="10" fontId="29" fillId="0" borderId="15" xfId="82" applyNumberFormat="1" applyFont="1" applyBorder="1" applyAlignment="1">
      <alignment horizontal="right"/>
    </xf>
    <xf numFmtId="0" fontId="10" fillId="37" borderId="18" xfId="0" applyFont="1" applyFill="1" applyBorder="1" applyAlignment="1">
      <alignment horizontal="center" wrapText="1"/>
    </xf>
    <xf numFmtId="167" fontId="29" fillId="0" borderId="24" xfId="53" applyNumberFormat="1" applyFont="1" applyBorder="1" applyAlignment="1">
      <alignment horizontal="right"/>
    </xf>
    <xf numFmtId="0" fontId="10" fillId="37" borderId="26" xfId="0" applyFont="1" applyFill="1" applyBorder="1" applyAlignment="1">
      <alignment horizontal="center" wrapText="1"/>
    </xf>
    <xf numFmtId="0" fontId="12" fillId="2" borderId="27" xfId="0" applyFont="1" applyFill="1" applyBorder="1" applyAlignment="1">
      <alignment horizontal="center" vertical="center" wrapText="1"/>
    </xf>
    <xf numFmtId="0" fontId="12" fillId="2" borderId="27" xfId="0" applyFont="1" applyFill="1" applyBorder="1" applyAlignment="1">
      <alignment horizontal="center" vertical="center"/>
    </xf>
    <xf numFmtId="167" fontId="29" fillId="0" borderId="28" xfId="53" applyNumberFormat="1" applyFont="1" applyBorder="1" applyAlignment="1">
      <alignment horizontal="right"/>
    </xf>
    <xf numFmtId="167" fontId="53" fillId="0" borderId="28" xfId="53" applyNumberFormat="1" applyFont="1" applyBorder="1" applyAlignment="1">
      <alignment horizontal="right"/>
    </xf>
    <xf numFmtId="167" fontId="53" fillId="0" borderId="24" xfId="53" applyNumberFormat="1" applyFont="1" applyBorder="1" applyAlignment="1">
      <alignment horizontal="right"/>
    </xf>
    <xf numFmtId="0" fontId="12" fillId="2" borderId="30" xfId="0" applyFont="1" applyFill="1" applyBorder="1" applyAlignment="1">
      <alignment horizontal="center" vertical="center" wrapText="1"/>
    </xf>
    <xf numFmtId="10" fontId="29" fillId="0" borderId="32" xfId="82" applyNumberFormat="1" applyFont="1" applyBorder="1" applyAlignment="1">
      <alignment horizontal="right"/>
    </xf>
    <xf numFmtId="10" fontId="29" fillId="0" borderId="31" xfId="82" applyNumberFormat="1" applyFont="1" applyBorder="1" applyAlignment="1">
      <alignment horizontal="right"/>
    </xf>
    <xf numFmtId="10" fontId="29" fillId="0" borderId="33" xfId="82" applyNumberFormat="1" applyFont="1" applyBorder="1" applyAlignment="1">
      <alignment horizontal="right"/>
    </xf>
    <xf numFmtId="0" fontId="54" fillId="0" borderId="17" xfId="0" applyFont="1" applyBorder="1" applyAlignment="1">
      <alignment vertical="center"/>
    </xf>
    <xf numFmtId="164" fontId="54" fillId="0" borderId="17" xfId="0" applyNumberFormat="1" applyFont="1" applyFill="1" applyBorder="1" applyAlignment="1">
      <alignment vertical="center" wrapText="1"/>
    </xf>
    <xf numFmtId="0" fontId="54" fillId="0" borderId="22" xfId="0" applyFont="1" applyFill="1" applyBorder="1" applyAlignment="1">
      <alignment vertical="center" wrapText="1"/>
    </xf>
    <xf numFmtId="164" fontId="54" fillId="0" borderId="22" xfId="0" applyNumberFormat="1" applyFont="1" applyFill="1" applyBorder="1" applyAlignment="1">
      <alignment vertical="center" wrapText="1"/>
    </xf>
    <xf numFmtId="0" fontId="54" fillId="0" borderId="17" xfId="0" applyFont="1" applyBorder="1" applyAlignment="1">
      <alignment vertical="center" wrapText="1"/>
    </xf>
    <xf numFmtId="0" fontId="2" fillId="2" borderId="35" xfId="0" applyFont="1" applyFill="1" applyBorder="1" applyAlignment="1">
      <alignment horizontal="left"/>
    </xf>
    <xf numFmtId="164" fontId="54" fillId="3" borderId="34" xfId="0" applyNumberFormat="1" applyFont="1" applyFill="1" applyBorder="1" applyAlignment="1">
      <alignment horizontal="center" vertical="center"/>
    </xf>
    <xf numFmtId="164" fontId="54" fillId="3" borderId="36" xfId="0" applyNumberFormat="1" applyFont="1" applyFill="1" applyBorder="1" applyAlignment="1">
      <alignment horizontal="center" vertical="center"/>
    </xf>
    <xf numFmtId="1" fontId="54" fillId="3" borderId="34" xfId="0" applyNumberFormat="1" applyFont="1" applyFill="1" applyBorder="1" applyAlignment="1">
      <alignment horizontal="center" vertical="center"/>
    </xf>
    <xf numFmtId="1" fontId="54" fillId="3" borderId="36" xfId="0" applyNumberFormat="1" applyFont="1" applyFill="1" applyBorder="1" applyAlignment="1">
      <alignment horizontal="center" vertical="center"/>
    </xf>
    <xf numFmtId="165" fontId="54" fillId="3" borderId="36" xfId="0" applyNumberFormat="1" applyFont="1" applyFill="1" applyBorder="1" applyAlignment="1">
      <alignment horizontal="center" vertical="center"/>
    </xf>
    <xf numFmtId="2" fontId="54" fillId="3" borderId="34" xfId="0" applyNumberFormat="1" applyFont="1" applyFill="1" applyBorder="1" applyAlignment="1">
      <alignment horizontal="center" vertical="center"/>
    </xf>
    <xf numFmtId="166" fontId="54" fillId="3" borderId="34" xfId="0" applyNumberFormat="1" applyFont="1" applyFill="1" applyBorder="1" applyAlignment="1">
      <alignment horizontal="center" vertical="center"/>
    </xf>
    <xf numFmtId="0" fontId="26" fillId="0" borderId="0" xfId="0" applyFont="1"/>
    <xf numFmtId="0" fontId="29" fillId="0" borderId="17" xfId="0" applyFont="1" applyBorder="1" applyAlignment="1">
      <alignment vertical="center"/>
    </xf>
    <xf numFmtId="164" fontId="29" fillId="3" borderId="34" xfId="0" applyNumberFormat="1" applyFont="1" applyFill="1" applyBorder="1" applyAlignment="1">
      <alignment horizontal="center" vertical="center"/>
    </xf>
    <xf numFmtId="0" fontId="29" fillId="0" borderId="17" xfId="0" applyFont="1" applyBorder="1" applyAlignment="1">
      <alignment vertical="center" wrapText="1"/>
    </xf>
    <xf numFmtId="164" fontId="29" fillId="0" borderId="17" xfId="0" applyNumberFormat="1" applyFont="1" applyFill="1" applyBorder="1" applyAlignment="1">
      <alignment vertical="center" wrapText="1"/>
    </xf>
    <xf numFmtId="175" fontId="29" fillId="0" borderId="10" xfId="53" applyNumberFormat="1" applyFont="1" applyFill="1" applyBorder="1" applyAlignment="1">
      <alignment horizontal="right"/>
    </xf>
    <xf numFmtId="0" fontId="0" fillId="0" borderId="21" xfId="0" applyBorder="1" applyAlignment="1">
      <alignment horizontal="center"/>
    </xf>
    <xf numFmtId="0" fontId="7" fillId="37" borderId="38" xfId="0" applyFont="1" applyFill="1" applyBorder="1" applyAlignment="1">
      <alignment horizontal="center" vertical="center"/>
    </xf>
    <xf numFmtId="0" fontId="7" fillId="37" borderId="21" xfId="0" applyFont="1" applyFill="1" applyBorder="1" applyAlignment="1">
      <alignment horizontal="center" vertical="center"/>
    </xf>
    <xf numFmtId="174" fontId="29" fillId="0" borderId="23" xfId="82" applyNumberFormat="1" applyFont="1" applyBorder="1" applyAlignment="1">
      <alignment horizontal="right"/>
    </xf>
    <xf numFmtId="173" fontId="29" fillId="0" borderId="15" xfId="53" applyNumberFormat="1" applyFont="1" applyBorder="1" applyAlignment="1">
      <alignment horizontal="right"/>
    </xf>
    <xf numFmtId="167" fontId="45" fillId="0" borderId="0" xfId="53" applyNumberFormat="1" applyFont="1" applyBorder="1" applyAlignment="1">
      <alignment horizontal="right" vertical="center"/>
    </xf>
    <xf numFmtId="0" fontId="11" fillId="37" borderId="16" xfId="0" applyFont="1" applyFill="1" applyBorder="1" applyAlignment="1">
      <alignment horizontal="center" wrapText="1"/>
    </xf>
    <xf numFmtId="0" fontId="11" fillId="37" borderId="18" xfId="0" applyFont="1" applyFill="1" applyBorder="1" applyAlignment="1">
      <alignment horizontal="center" wrapText="1"/>
    </xf>
    <xf numFmtId="0" fontId="57" fillId="0" borderId="0" xfId="0" applyFont="1"/>
    <xf numFmtId="0" fontId="57" fillId="0" borderId="0" xfId="0" applyFont="1" applyFill="1"/>
    <xf numFmtId="0" fontId="29" fillId="0" borderId="0" xfId="0" applyFont="1" applyAlignment="1">
      <alignment vertical="center"/>
    </xf>
    <xf numFmtId="0" fontId="11" fillId="37" borderId="26" xfId="0" applyFont="1" applyFill="1" applyBorder="1" applyAlignment="1">
      <alignment horizontal="center" wrapText="1"/>
    </xf>
    <xf numFmtId="0" fontId="12" fillId="2" borderId="43" xfId="0" applyFont="1" applyFill="1" applyBorder="1" applyAlignment="1">
      <alignment horizontal="center" vertical="center" wrapText="1"/>
    </xf>
    <xf numFmtId="0" fontId="46" fillId="0" borderId="0" xfId="0" applyFont="1" applyFill="1"/>
    <xf numFmtId="0" fontId="12" fillId="2" borderId="39" xfId="0" applyFont="1" applyFill="1" applyBorder="1" applyAlignment="1">
      <alignment horizontal="center" vertical="center" wrapText="1"/>
    </xf>
    <xf numFmtId="0" fontId="12" fillId="2" borderId="44" xfId="0" applyFont="1" applyFill="1" applyBorder="1" applyAlignment="1">
      <alignment horizontal="center" vertical="center" wrapText="1"/>
    </xf>
    <xf numFmtId="176" fontId="29" fillId="0" borderId="15" xfId="53" applyNumberFormat="1" applyFont="1" applyBorder="1" applyAlignment="1">
      <alignment horizontal="right"/>
    </xf>
    <xf numFmtId="171" fontId="45" fillId="0" borderId="15" xfId="53" applyNumberFormat="1" applyFont="1" applyBorder="1" applyAlignment="1">
      <alignment horizontal="right" vertical="center"/>
    </xf>
    <xf numFmtId="0" fontId="42" fillId="0" borderId="15" xfId="53" applyNumberFormat="1" applyFont="1" applyBorder="1" applyAlignment="1">
      <alignment horizontal="right"/>
    </xf>
    <xf numFmtId="0" fontId="46" fillId="42" borderId="0" xfId="0" applyFont="1" applyFill="1"/>
    <xf numFmtId="0" fontId="0" fillId="42" borderId="0" xfId="0" applyFill="1"/>
    <xf numFmtId="0" fontId="46" fillId="43" borderId="0" xfId="0" applyFont="1" applyFill="1"/>
    <xf numFmtId="0" fontId="0" fillId="43" borderId="0" xfId="0" applyFill="1"/>
    <xf numFmtId="0" fontId="46" fillId="44" borderId="0" xfId="0" applyFont="1" applyFill="1"/>
    <xf numFmtId="0" fontId="0" fillId="44" borderId="0" xfId="0" applyFill="1"/>
    <xf numFmtId="1" fontId="29" fillId="0" borderId="0" xfId="53" applyNumberFormat="1" applyFont="1" applyBorder="1" applyAlignment="1">
      <alignment horizontal="right"/>
    </xf>
    <xf numFmtId="167" fontId="29" fillId="0" borderId="0" xfId="53" applyNumberFormat="1" applyFont="1" applyBorder="1" applyAlignment="1">
      <alignment horizontal="right"/>
    </xf>
    <xf numFmtId="10" fontId="29" fillId="0" borderId="0" xfId="82" applyNumberFormat="1" applyFont="1" applyBorder="1" applyAlignment="1">
      <alignment horizontal="right"/>
    </xf>
    <xf numFmtId="2" fontId="29" fillId="0" borderId="0" xfId="82" applyNumberFormat="1" applyFont="1" applyFill="1" applyBorder="1" applyAlignment="1">
      <alignment horizontal="right"/>
    </xf>
    <xf numFmtId="168" fontId="29" fillId="0" borderId="0" xfId="53" applyNumberFormat="1" applyFont="1" applyBorder="1" applyAlignment="1">
      <alignment horizontal="right"/>
    </xf>
    <xf numFmtId="0" fontId="41" fillId="0" borderId="0" xfId="0" applyFont="1" applyAlignment="1">
      <alignment wrapText="1"/>
    </xf>
    <xf numFmtId="3" fontId="29" fillId="41" borderId="32" xfId="82" applyNumberFormat="1" applyFont="1" applyFill="1" applyBorder="1" applyAlignment="1">
      <alignment horizontal="right"/>
    </xf>
    <xf numFmtId="3" fontId="29" fillId="41" borderId="15" xfId="53" applyNumberFormat="1" applyFont="1" applyFill="1" applyBorder="1" applyAlignment="1">
      <alignment horizontal="right"/>
    </xf>
    <xf numFmtId="2" fontId="54" fillId="3" borderId="36" xfId="0" applyNumberFormat="1" applyFont="1" applyFill="1" applyBorder="1" applyAlignment="1">
      <alignment horizontal="center" vertical="center"/>
    </xf>
    <xf numFmtId="175" fontId="54" fillId="3" borderId="34" xfId="0" applyNumberFormat="1" applyFont="1" applyFill="1" applyBorder="1" applyAlignment="1">
      <alignment horizontal="center" vertical="center"/>
    </xf>
    <xf numFmtId="0" fontId="25" fillId="39" borderId="0" xfId="0" applyFont="1" applyFill="1" applyBorder="1" applyAlignment="1">
      <alignment horizontal="center" vertical="center"/>
    </xf>
    <xf numFmtId="0" fontId="7" fillId="0" borderId="0" xfId="0" applyFont="1" applyBorder="1" applyAlignment="1">
      <alignment horizontal="center" vertical="center"/>
    </xf>
    <xf numFmtId="171" fontId="45" fillId="0" borderId="0" xfId="53" applyNumberFormat="1" applyFont="1" applyBorder="1" applyAlignment="1">
      <alignment horizontal="right" vertical="center"/>
    </xf>
    <xf numFmtId="0" fontId="12" fillId="2" borderId="0" xfId="0" applyFont="1" applyFill="1" applyBorder="1" applyAlignment="1">
      <alignment horizontal="center" vertical="center" wrapText="1"/>
    </xf>
    <xf numFmtId="0" fontId="41" fillId="0" borderId="0" xfId="0" applyFont="1" applyBorder="1" applyAlignment="1">
      <alignment wrapText="1"/>
    </xf>
    <xf numFmtId="3" fontId="29" fillId="0" borderId="15" xfId="53" applyNumberFormat="1" applyFont="1" applyFill="1" applyBorder="1" applyAlignment="1">
      <alignment horizontal="right"/>
    </xf>
    <xf numFmtId="168" fontId="29" fillId="0" borderId="15" xfId="53" applyNumberFormat="1" applyFont="1" applyBorder="1" applyAlignment="1">
      <alignment horizontal="right" wrapText="1"/>
    </xf>
    <xf numFmtId="10" fontId="29" fillId="0" borderId="23" xfId="82" applyNumberFormat="1" applyFont="1" applyBorder="1" applyAlignment="1">
      <alignment horizontal="right"/>
    </xf>
    <xf numFmtId="10" fontId="29" fillId="0" borderId="15" xfId="53" applyNumberFormat="1" applyFont="1" applyBorder="1" applyAlignment="1">
      <alignment horizontal="right"/>
    </xf>
    <xf numFmtId="177" fontId="29" fillId="0" borderId="15" xfId="53" applyNumberFormat="1" applyFont="1" applyBorder="1" applyAlignment="1">
      <alignment horizontal="right"/>
    </xf>
    <xf numFmtId="166" fontId="29" fillId="0" borderId="10" xfId="53" applyNumberFormat="1" applyFont="1" applyBorder="1" applyAlignment="1">
      <alignment horizontal="right"/>
    </xf>
    <xf numFmtId="0" fontId="42" fillId="2" borderId="17" xfId="0" applyFont="1" applyFill="1" applyBorder="1" applyAlignment="1">
      <alignment horizontal="center"/>
    </xf>
    <xf numFmtId="0" fontId="62" fillId="2" borderId="17" xfId="87" applyFont="1" applyFill="1" applyBorder="1" applyAlignment="1">
      <alignment horizontal="center"/>
    </xf>
    <xf numFmtId="0" fontId="62" fillId="2" borderId="35" xfId="87" applyFont="1" applyFill="1" applyBorder="1" applyAlignment="1">
      <alignment horizontal="center"/>
    </xf>
    <xf numFmtId="165" fontId="54" fillId="3" borderId="0" xfId="0" applyNumberFormat="1" applyFont="1" applyFill="1" applyBorder="1" applyAlignment="1">
      <alignment horizontal="center" vertical="center"/>
    </xf>
    <xf numFmtId="2" fontId="29" fillId="0" borderId="17" xfId="0" applyNumberFormat="1" applyFont="1" applyBorder="1" applyAlignment="1">
      <alignment vertical="center"/>
    </xf>
    <xf numFmtId="2" fontId="54" fillId="0" borderId="17" xfId="0" applyNumberFormat="1" applyFont="1" applyFill="1" applyBorder="1" applyAlignment="1">
      <alignment vertical="center" wrapText="1"/>
    </xf>
    <xf numFmtId="2" fontId="63" fillId="0" borderId="17" xfId="0" applyNumberFormat="1" applyFont="1" applyBorder="1" applyAlignment="1">
      <alignment horizontal="center" vertical="center" wrapText="1"/>
    </xf>
    <xf numFmtId="0" fontId="48" fillId="37" borderId="16" xfId="0" applyFont="1" applyFill="1" applyBorder="1" applyAlignment="1">
      <alignment horizontal="left" vertical="top" wrapText="1"/>
    </xf>
    <xf numFmtId="0" fontId="11" fillId="37" borderId="16" xfId="0" applyFont="1" applyFill="1" applyBorder="1" applyAlignment="1">
      <alignment horizontal="left" vertical="top" wrapText="1"/>
    </xf>
    <xf numFmtId="0" fontId="7" fillId="37" borderId="38" xfId="0" applyFont="1" applyFill="1" applyBorder="1" applyAlignment="1">
      <alignment horizontal="center" vertical="center"/>
    </xf>
    <xf numFmtId="0" fontId="7" fillId="37" borderId="21" xfId="0" applyFont="1" applyFill="1" applyBorder="1" applyAlignment="1">
      <alignment horizontal="center" vertical="center"/>
    </xf>
    <xf numFmtId="0" fontId="7" fillId="37" borderId="38" xfId="0" applyFont="1" applyFill="1" applyBorder="1" applyAlignment="1">
      <alignment horizontal="center" vertical="center"/>
    </xf>
    <xf numFmtId="0" fontId="7" fillId="37" borderId="21" xfId="0" applyFont="1" applyFill="1" applyBorder="1" applyAlignment="1">
      <alignment horizontal="center" vertical="center"/>
    </xf>
    <xf numFmtId="0" fontId="63" fillId="0" borderId="17" xfId="82" applyNumberFormat="1" applyFont="1" applyBorder="1" applyAlignment="1">
      <alignment horizontal="right" vertical="center" wrapText="1"/>
    </xf>
    <xf numFmtId="178" fontId="53" fillId="0" borderId="15" xfId="53" applyNumberFormat="1" applyFont="1" applyBorder="1" applyAlignment="1">
      <alignment horizontal="right"/>
    </xf>
    <xf numFmtId="178" fontId="29" fillId="0" borderId="15" xfId="53" applyNumberFormat="1" applyFont="1" applyBorder="1" applyAlignment="1">
      <alignment horizontal="right"/>
    </xf>
    <xf numFmtId="164" fontId="0" fillId="0" borderId="0" xfId="0" applyNumberFormat="1" applyAlignment="1">
      <alignment horizontal="left"/>
    </xf>
    <xf numFmtId="164" fontId="7" fillId="0" borderId="0" xfId="0" applyNumberFormat="1" applyFont="1" applyAlignment="1">
      <alignment horizontal="left"/>
    </xf>
    <xf numFmtId="0" fontId="12" fillId="2" borderId="45" xfId="0" applyFont="1" applyFill="1" applyBorder="1" applyAlignment="1">
      <alignment horizontal="center" vertical="center" wrapText="1"/>
    </xf>
    <xf numFmtId="0" fontId="12" fillId="2" borderId="46" xfId="0" applyFont="1" applyFill="1" applyBorder="1" applyAlignment="1">
      <alignment horizontal="center" vertical="center" wrapText="1"/>
    </xf>
    <xf numFmtId="3" fontId="29" fillId="0" borderId="24" xfId="53" applyNumberFormat="1" applyFont="1" applyFill="1" applyBorder="1" applyAlignment="1">
      <alignment horizontal="right"/>
    </xf>
    <xf numFmtId="10" fontId="29" fillId="0" borderId="25" xfId="82" applyNumberFormat="1" applyFont="1" applyBorder="1" applyAlignment="1">
      <alignment horizontal="right"/>
    </xf>
    <xf numFmtId="168" fontId="29" fillId="0" borderId="47" xfId="53" applyNumberFormat="1" applyFont="1" applyBorder="1" applyAlignment="1">
      <alignment horizontal="right" wrapText="1"/>
    </xf>
    <xf numFmtId="168" fontId="29" fillId="0" borderId="48" xfId="53" applyNumberFormat="1" applyFont="1" applyBorder="1" applyAlignment="1">
      <alignment horizontal="right" wrapText="1"/>
    </xf>
    <xf numFmtId="2" fontId="54" fillId="3" borderId="0" xfId="0" applyNumberFormat="1" applyFont="1" applyFill="1" applyBorder="1" applyAlignment="1">
      <alignment horizontal="center" vertical="center"/>
    </xf>
    <xf numFmtId="0" fontId="66" fillId="0" borderId="0" xfId="0" applyFont="1"/>
    <xf numFmtId="4" fontId="29" fillId="0" borderId="15" xfId="53" applyNumberFormat="1" applyFont="1" applyFill="1" applyBorder="1" applyAlignment="1">
      <alignment horizontal="right"/>
    </xf>
    <xf numFmtId="0" fontId="9" fillId="37" borderId="29" xfId="0" applyFont="1" applyFill="1" applyBorder="1" applyAlignment="1">
      <alignment horizontal="center" vertical="center" wrapText="1"/>
    </xf>
    <xf numFmtId="0" fontId="9" fillId="37" borderId="19" xfId="0" applyFont="1" applyFill="1" applyBorder="1" applyAlignment="1">
      <alignment horizontal="center" vertical="center" wrapText="1"/>
    </xf>
    <xf numFmtId="0" fontId="9" fillId="37" borderId="20" xfId="0" applyFont="1" applyFill="1" applyBorder="1" applyAlignment="1">
      <alignment horizontal="center" vertical="center" wrapText="1"/>
    </xf>
    <xf numFmtId="0" fontId="48" fillId="37" borderId="29" xfId="0" applyFont="1" applyFill="1" applyBorder="1" applyAlignment="1">
      <alignment horizontal="center" wrapText="1"/>
    </xf>
    <xf numFmtId="0" fontId="58" fillId="37" borderId="19" xfId="0" applyFont="1" applyFill="1" applyBorder="1" applyAlignment="1">
      <alignment horizontal="center" wrapText="1"/>
    </xf>
    <xf numFmtId="0" fontId="58" fillId="37" borderId="20" xfId="0" applyFont="1" applyFill="1" applyBorder="1" applyAlignment="1">
      <alignment horizontal="center" wrapText="1"/>
    </xf>
    <xf numFmtId="0" fontId="48" fillId="37" borderId="29" xfId="0" applyFont="1" applyFill="1" applyBorder="1" applyAlignment="1">
      <alignment horizontal="center" vertical="center" wrapText="1"/>
    </xf>
    <xf numFmtId="0" fontId="48" fillId="37" borderId="19" xfId="0" applyFont="1" applyFill="1" applyBorder="1" applyAlignment="1">
      <alignment horizontal="center" vertical="center" wrapText="1"/>
    </xf>
    <xf numFmtId="0" fontId="48" fillId="37" borderId="20" xfId="0" applyFont="1" applyFill="1" applyBorder="1" applyAlignment="1">
      <alignment horizontal="center" vertical="center" wrapText="1"/>
    </xf>
    <xf numFmtId="0" fontId="7" fillId="0" borderId="0" xfId="0" applyFont="1" applyBorder="1" applyAlignment="1">
      <alignment horizontal="center" vertical="center" wrapText="1"/>
    </xf>
    <xf numFmtId="0" fontId="7" fillId="0" borderId="0" xfId="0" applyFont="1" applyBorder="1" applyAlignment="1">
      <alignment horizontal="center" vertical="center"/>
    </xf>
    <xf numFmtId="172" fontId="29" fillId="41" borderId="24" xfId="53" applyNumberFormat="1" applyFont="1" applyFill="1" applyBorder="1" applyAlignment="1">
      <alignment horizontal="left" vertical="center" wrapText="1"/>
    </xf>
    <xf numFmtId="172" fontId="29" fillId="41" borderId="23" xfId="53" applyNumberFormat="1" applyFont="1" applyFill="1" applyBorder="1" applyAlignment="1">
      <alignment horizontal="left" vertical="center" wrapText="1"/>
    </xf>
    <xf numFmtId="172" fontId="29" fillId="41" borderId="25" xfId="53" applyNumberFormat="1" applyFont="1" applyFill="1" applyBorder="1" applyAlignment="1">
      <alignment horizontal="left" vertical="center" wrapText="1"/>
    </xf>
    <xf numFmtId="0" fontId="2" fillId="40" borderId="38" xfId="0" applyFont="1" applyFill="1" applyBorder="1" applyAlignment="1">
      <alignment horizontal="center" vertical="center"/>
    </xf>
    <xf numFmtId="0" fontId="2" fillId="40" borderId="39" xfId="0" applyFont="1" applyFill="1" applyBorder="1" applyAlignment="1">
      <alignment horizontal="center" vertical="center"/>
    </xf>
    <xf numFmtId="0" fontId="2" fillId="40" borderId="21" xfId="0" applyFont="1" applyFill="1" applyBorder="1" applyAlignment="1">
      <alignment horizontal="center" vertical="center"/>
    </xf>
    <xf numFmtId="0" fontId="2" fillId="40" borderId="41" xfId="0" applyFont="1" applyFill="1" applyBorder="1" applyAlignment="1">
      <alignment horizontal="center" vertical="center"/>
    </xf>
    <xf numFmtId="0" fontId="2" fillId="3" borderId="18"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37" xfId="0" applyFont="1" applyFill="1" applyBorder="1" applyAlignment="1">
      <alignment horizontal="center"/>
    </xf>
    <xf numFmtId="0" fontId="2" fillId="3" borderId="38" xfId="0" applyFont="1" applyFill="1" applyBorder="1" applyAlignment="1">
      <alignment horizontal="center"/>
    </xf>
    <xf numFmtId="0" fontId="2" fillId="3" borderId="39" xfId="0" applyFont="1" applyFill="1" applyBorder="1" applyAlignment="1">
      <alignment horizontal="center"/>
    </xf>
    <xf numFmtId="0" fontId="7" fillId="37" borderId="37" xfId="0" applyFont="1" applyFill="1" applyBorder="1" applyAlignment="1">
      <alignment horizontal="center" vertical="center"/>
    </xf>
    <xf numFmtId="0" fontId="7" fillId="37" borderId="38" xfId="0" applyFont="1" applyFill="1" applyBorder="1" applyAlignment="1">
      <alignment horizontal="center" vertical="center"/>
    </xf>
    <xf numFmtId="0" fontId="7" fillId="37" borderId="39" xfId="0" applyFont="1" applyFill="1" applyBorder="1" applyAlignment="1">
      <alignment horizontal="center" vertical="center"/>
    </xf>
    <xf numFmtId="0" fontId="7" fillId="37" borderId="40" xfId="0" applyFont="1" applyFill="1" applyBorder="1" applyAlignment="1">
      <alignment horizontal="center" vertical="center"/>
    </xf>
    <xf numFmtId="0" fontId="7" fillId="37" borderId="21" xfId="0" applyFont="1" applyFill="1" applyBorder="1" applyAlignment="1">
      <alignment horizontal="center" vertical="center"/>
    </xf>
    <xf numFmtId="0" fontId="7" fillId="37" borderId="41" xfId="0" applyFont="1" applyFill="1" applyBorder="1" applyAlignment="1">
      <alignment horizontal="center" vertical="center"/>
    </xf>
    <xf numFmtId="0" fontId="25" fillId="39" borderId="42" xfId="0" applyFont="1" applyFill="1" applyBorder="1" applyAlignment="1">
      <alignment horizontal="center" vertical="center"/>
    </xf>
    <xf numFmtId="0" fontId="25" fillId="39" borderId="0" xfId="0" applyFont="1" applyFill="1" applyBorder="1" applyAlignment="1">
      <alignment horizontal="center" vertical="center"/>
    </xf>
    <xf numFmtId="0" fontId="25" fillId="39" borderId="40" xfId="0" applyFont="1" applyFill="1" applyBorder="1" applyAlignment="1">
      <alignment horizontal="center" vertical="center"/>
    </xf>
    <xf numFmtId="0" fontId="25" fillId="39" borderId="21" xfId="0" applyFont="1" applyFill="1" applyBorder="1" applyAlignment="1">
      <alignment horizontal="center" vertical="center"/>
    </xf>
    <xf numFmtId="0" fontId="25" fillId="38" borderId="37" xfId="0" applyFont="1" applyFill="1" applyBorder="1" applyAlignment="1">
      <alignment horizontal="center" vertical="center"/>
    </xf>
    <xf numFmtId="0" fontId="25" fillId="38" borderId="38" xfId="0" applyFont="1" applyFill="1" applyBorder="1" applyAlignment="1">
      <alignment horizontal="center" vertical="center"/>
    </xf>
    <xf numFmtId="0" fontId="25" fillId="38" borderId="40" xfId="0" applyFont="1" applyFill="1" applyBorder="1" applyAlignment="1">
      <alignment horizontal="center" vertical="center"/>
    </xf>
    <xf numFmtId="0" fontId="25" fillId="38" borderId="21" xfId="0" applyFont="1" applyFill="1" applyBorder="1" applyAlignment="1">
      <alignment horizontal="center" vertical="center"/>
    </xf>
    <xf numFmtId="172" fontId="55" fillId="41" borderId="24" xfId="53" applyNumberFormat="1" applyFont="1" applyFill="1" applyBorder="1" applyAlignment="1">
      <alignment horizontal="left" vertical="center" wrapText="1"/>
    </xf>
    <xf numFmtId="172" fontId="63" fillId="41" borderId="23" xfId="53" applyNumberFormat="1" applyFont="1" applyFill="1" applyBorder="1" applyAlignment="1">
      <alignment horizontal="left" vertical="center" wrapText="1"/>
    </xf>
    <xf numFmtId="0" fontId="7" fillId="0" borderId="21" xfId="0" applyFont="1" applyBorder="1" applyAlignment="1">
      <alignment horizontal="center" vertical="center" wrapText="1"/>
    </xf>
    <xf numFmtId="0" fontId="7" fillId="0" borderId="21" xfId="0" applyFont="1" applyBorder="1" applyAlignment="1">
      <alignment horizontal="center" vertical="center"/>
    </xf>
    <xf numFmtId="0" fontId="2" fillId="40" borderId="38" xfId="0" applyFont="1" applyFill="1" applyBorder="1" applyAlignment="1">
      <alignment horizontal="center" vertical="center" wrapText="1"/>
    </xf>
    <xf numFmtId="0" fontId="2" fillId="40" borderId="39" xfId="0" applyFont="1" applyFill="1" applyBorder="1" applyAlignment="1">
      <alignment horizontal="center" vertical="center" wrapText="1"/>
    </xf>
    <xf numFmtId="0" fontId="2" fillId="40" borderId="21" xfId="0" applyFont="1" applyFill="1" applyBorder="1" applyAlignment="1">
      <alignment horizontal="center" vertical="center" wrapText="1"/>
    </xf>
    <xf numFmtId="0" fontId="2" fillId="40" borderId="41"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20" xfId="0" applyFont="1" applyFill="1" applyBorder="1" applyAlignment="1">
      <alignment horizontal="center" vertical="center" wrapText="1"/>
    </xf>
  </cellXfs>
  <cellStyles count="88">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5x indented GHG Textfiels" xfId="56" xr:uid="{00000000-0005-0000-0000-00000C000000}"/>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Bold GHG Numbers (0.00)" xfId="65" xr:uid="{00000000-0005-0000-0000-000013000000}"/>
    <cellStyle name="Calculation" xfId="11" builtinId="22" customBuiltin="1"/>
    <cellStyle name="Check Cell" xfId="13" builtinId="23" customBuiltin="1"/>
    <cellStyle name="Comma 2" xfId="60" xr:uid="{00000000-0005-0000-0000-000018000000}"/>
    <cellStyle name="Comma 2 2" xfId="69" xr:uid="{00000000-0005-0000-0000-000019000000}"/>
    <cellStyle name="Comma 2 2 2" xfId="79" xr:uid="{00000000-0005-0000-0000-00001A000000}"/>
    <cellStyle name="Comma 2 3" xfId="75" xr:uid="{00000000-0005-0000-0000-00001B000000}"/>
    <cellStyle name="Comma 3" xfId="61" xr:uid="{00000000-0005-0000-0000-00001C000000}"/>
    <cellStyle name="Comma 3 2" xfId="47" xr:uid="{00000000-0005-0000-0000-00001D000000}"/>
    <cellStyle name="Comma 3 2 2" xfId="86" xr:uid="{00000000-0005-0000-0000-00001E000000}"/>
    <cellStyle name="Comma 3 3" xfId="51" xr:uid="{00000000-0005-0000-0000-00001F000000}"/>
    <cellStyle name="Comma 3 3 2" xfId="80" xr:uid="{00000000-0005-0000-0000-000020000000}"/>
    <cellStyle name="Comma 3 4" xfId="77" xr:uid="{00000000-0005-0000-0000-000021000000}"/>
    <cellStyle name="Comma 4" xfId="74" xr:uid="{00000000-0005-0000-0000-000022000000}"/>
    <cellStyle name="Comma 5" xfId="62" xr:uid="{00000000-0005-0000-0000-000023000000}"/>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eadline" xfId="54" xr:uid="{00000000-0005-0000-0000-00002D000000}"/>
    <cellStyle name="Hyperlink" xfId="87" builtinId="8"/>
    <cellStyle name="Input" xfId="9" builtinId="20" customBuiltin="1"/>
    <cellStyle name="Linked Cell" xfId="12" builtinId="24" customBuiltin="1"/>
    <cellStyle name="Neutral" xfId="8" builtinId="28" customBuiltin="1"/>
    <cellStyle name="Normal" xfId="0" builtinId="0"/>
    <cellStyle name="Normal 10" xfId="81" xr:uid="{00000000-0005-0000-0000-000032000000}"/>
    <cellStyle name="Normal 11" xfId="83" xr:uid="{00000000-0005-0000-0000-000033000000}"/>
    <cellStyle name="Normal 2" xfId="42" xr:uid="{00000000-0005-0000-0000-000034000000}"/>
    <cellStyle name="Normal 2 2" xfId="67" xr:uid="{00000000-0005-0000-0000-000035000000}"/>
    <cellStyle name="Normal 3" xfId="43" xr:uid="{00000000-0005-0000-0000-000036000000}"/>
    <cellStyle name="Normal 3 2" xfId="58" xr:uid="{00000000-0005-0000-0000-000037000000}"/>
    <cellStyle name="Normal 4" xfId="53" xr:uid="{00000000-0005-0000-0000-000038000000}"/>
    <cellStyle name="Normal 4 2" xfId="64" xr:uid="{00000000-0005-0000-0000-000039000000}"/>
    <cellStyle name="Normal 4 3" xfId="76" xr:uid="{00000000-0005-0000-0000-00003A000000}"/>
    <cellStyle name="Normal 4 4" xfId="73" xr:uid="{00000000-0005-0000-0000-00003B000000}"/>
    <cellStyle name="Normal 5" xfId="50" xr:uid="{00000000-0005-0000-0000-00003C000000}"/>
    <cellStyle name="Normal 6" xfId="55" xr:uid="{00000000-0005-0000-0000-00003D000000}"/>
    <cellStyle name="Normal 6 2" xfId="66" xr:uid="{00000000-0005-0000-0000-00003E000000}"/>
    <cellStyle name="Normal 6 2 2" xfId="85" xr:uid="{00000000-0005-0000-0000-00003F000000}"/>
    <cellStyle name="Normal 7" xfId="59" xr:uid="{00000000-0005-0000-0000-000040000000}"/>
    <cellStyle name="Normal 8" xfId="45" xr:uid="{00000000-0005-0000-0000-000041000000}"/>
    <cellStyle name="Normal 9" xfId="48" xr:uid="{00000000-0005-0000-0000-000042000000}"/>
    <cellStyle name="Normal GHG Numbers (0.00)" xfId="46" xr:uid="{00000000-0005-0000-0000-000043000000}"/>
    <cellStyle name="Normal GHG whole table" xfId="68" xr:uid="{00000000-0005-0000-0000-000044000000}"/>
    <cellStyle name="Normal GHG-Shade" xfId="63" xr:uid="{00000000-0005-0000-0000-000045000000}"/>
    <cellStyle name="Note" xfId="15" builtinId="10" customBuiltin="1"/>
    <cellStyle name="Output" xfId="10" builtinId="21" customBuiltin="1"/>
    <cellStyle name="Pattern" xfId="57" xr:uid="{00000000-0005-0000-0000-000047000000}"/>
    <cellStyle name="Percent" xfId="82" builtinId="5"/>
    <cellStyle name="Percent 2" xfId="44" xr:uid="{00000000-0005-0000-0000-000048000000}"/>
    <cellStyle name="Percent 2 2" xfId="52" xr:uid="{00000000-0005-0000-0000-000049000000}"/>
    <cellStyle name="Percent 2 3" xfId="84" xr:uid="{00000000-0005-0000-0000-00004A000000}"/>
    <cellStyle name="Percent 3" xfId="71" xr:uid="{00000000-0005-0000-0000-00004B000000}"/>
    <cellStyle name="Percent 4" xfId="49" xr:uid="{00000000-0005-0000-0000-00004C000000}"/>
    <cellStyle name="Standard_FI00EU01" xfId="70" xr:uid="{00000000-0005-0000-0000-00004F000000}"/>
    <cellStyle name="Title" xfId="1" builtinId="15" customBuiltin="1"/>
    <cellStyle name="Total" xfId="17" builtinId="25" customBuiltin="1"/>
    <cellStyle name="Warning Text" xfId="14" builtinId="11" customBuiltin="1"/>
    <cellStyle name="Year" xfId="72" xr:uid="{00000000-0005-0000-0000-000056000000}"/>
    <cellStyle name="Κόμμα 2" xfId="78" xr:uid="{00000000-0005-0000-0000-000057000000}"/>
  </cellStyles>
  <dxfs count="0"/>
  <tableStyles count="0" defaultTableStyle="TableStyleMedium2" defaultPivotStyle="PivotStyleLight16"/>
  <colors>
    <mruColors>
      <color rgb="FFFF97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100"/>
              <a:t>Cumulated CO2 emissions from electricity generation, EU27</a:t>
            </a:r>
          </a:p>
        </c:rich>
      </c:tx>
      <c:layout>
        <c:manualLayout>
          <c:xMode val="edge"/>
          <c:yMode val="edge"/>
          <c:x val="0.16572353455818023"/>
          <c:y val="2.783576896311760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v>BAU</c:v>
          </c:tx>
          <c:spPr>
            <a:ln w="28575" cap="rnd">
              <a:solidFill>
                <a:schemeClr val="accent2"/>
              </a:solidFill>
              <a:round/>
            </a:ln>
            <a:effectLst/>
          </c:spPr>
          <c:marker>
            <c:symbol val="none"/>
          </c:marke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BAU!$T$7:$T$15</c:f>
              <c:numCache>
                <c:formatCode>0.00</c:formatCode>
                <c:ptCount val="9"/>
                <c:pt idx="0">
                  <c:v>530</c:v>
                </c:pt>
                <c:pt idx="1">
                  <c:v>701.5326424755242</c:v>
                </c:pt>
                <c:pt idx="2">
                  <c:v>844.84930759320696</c:v>
                </c:pt>
                <c:pt idx="3">
                  <c:v>999.57284990666062</c:v>
                </c:pt>
                <c:pt idx="4">
                  <c:v>1147.8333532663503</c:v>
                </c:pt>
                <c:pt idx="5">
                  <c:v>1300.7335972362721</c:v>
                </c:pt>
                <c:pt idx="6">
                  <c:v>1458.7512117655886</c:v>
                </c:pt>
                <c:pt idx="7">
                  <c:v>1628.1536411120085</c:v>
                </c:pt>
                <c:pt idx="8">
                  <c:v>1807.5646385148723</c:v>
                </c:pt>
              </c:numCache>
            </c:numRef>
          </c:val>
          <c:smooth val="0"/>
          <c:extLst>
            <c:ext xmlns:c16="http://schemas.microsoft.com/office/drawing/2014/chart" uri="{C3380CC4-5D6E-409C-BE32-E72D297353CC}">
              <c16:uniqueId val="{00000000-C13D-4AD6-BEE8-C3478C8FA201}"/>
            </c:ext>
          </c:extLst>
        </c:ser>
        <c:ser>
          <c:idx val="0"/>
          <c:order val="1"/>
          <c:tx>
            <c:v>IEA NZE</c:v>
          </c:tx>
          <c:spPr>
            <a:ln w="28575" cap="rnd">
              <a:solidFill>
                <a:schemeClr val="accent1"/>
              </a:solidFill>
              <a:round/>
            </a:ln>
            <a:effectLst/>
          </c:spPr>
          <c:marker>
            <c:symbol val="none"/>
          </c:marker>
          <c:val>
            <c:numRef>
              <c:f>'IEA NZE'!$Y$7:$Y$15</c:f>
              <c:numCache>
                <c:formatCode>0.00</c:formatCode>
                <c:ptCount val="9"/>
                <c:pt idx="0">
                  <c:v>530</c:v>
                </c:pt>
                <c:pt idx="1">
                  <c:v>733.76974925142076</c:v>
                </c:pt>
                <c:pt idx="2">
                  <c:v>938.52389342676145</c:v>
                </c:pt>
                <c:pt idx="3">
                  <c:v>1011.1464625501189</c:v>
                </c:pt>
                <c:pt idx="4">
                  <c:v>1097.3021088374214</c:v>
                </c:pt>
                <c:pt idx="5">
                  <c:v>1099.2714967534005</c:v>
                </c:pt>
                <c:pt idx="6">
                  <c:v>1101.5966420250472</c:v>
                </c:pt>
                <c:pt idx="7">
                  <c:v>1102.3290823628017</c:v>
                </c:pt>
                <c:pt idx="8">
                  <c:v>1103.1480439888912</c:v>
                </c:pt>
              </c:numCache>
            </c:numRef>
          </c:val>
          <c:smooth val="0"/>
          <c:extLst>
            <c:ext xmlns:c16="http://schemas.microsoft.com/office/drawing/2014/chart" uri="{C3380CC4-5D6E-409C-BE32-E72D297353CC}">
              <c16:uniqueId val="{00000001-C13D-4AD6-BEE8-C3478C8FA201}"/>
            </c:ext>
          </c:extLst>
        </c:ser>
        <c:ser>
          <c:idx val="2"/>
          <c:order val="2"/>
          <c:tx>
            <c:v>High RES</c:v>
          </c:tx>
          <c:spPr>
            <a:ln w="28575" cap="rnd">
              <a:solidFill>
                <a:schemeClr val="accent3"/>
              </a:solidFill>
              <a:round/>
            </a:ln>
            <a:effectLst/>
          </c:spPr>
          <c:marker>
            <c:symbol val="none"/>
          </c:marker>
          <c:val>
            <c:numRef>
              <c:f>'High RES'!$Y$7:$Y$15</c:f>
              <c:numCache>
                <c:formatCode>0.00</c:formatCode>
                <c:ptCount val="9"/>
                <c:pt idx="0">
                  <c:v>530</c:v>
                </c:pt>
                <c:pt idx="1">
                  <c:v>696.70072946681466</c:v>
                </c:pt>
                <c:pt idx="2">
                  <c:v>827.80093075135278</c:v>
                </c:pt>
                <c:pt idx="3">
                  <c:v>952.25880635872454</c:v>
                </c:pt>
                <c:pt idx="4">
                  <c:v>1038.1878248872686</c:v>
                </c:pt>
                <c:pt idx="5">
                  <c:v>1102.7148673193053</c:v>
                </c:pt>
                <c:pt idx="6">
                  <c:v>1150.2294413218863</c:v>
                </c:pt>
                <c:pt idx="7">
                  <c:v>1188.1574036314053</c:v>
                </c:pt>
                <c:pt idx="8">
                  <c:v>1219.6708391492525</c:v>
                </c:pt>
              </c:numCache>
            </c:numRef>
          </c:val>
          <c:smooth val="0"/>
          <c:extLst>
            <c:ext xmlns:c16="http://schemas.microsoft.com/office/drawing/2014/chart" uri="{C3380CC4-5D6E-409C-BE32-E72D297353CC}">
              <c16:uniqueId val="{00000002-C13D-4AD6-BEE8-C3478C8FA201}"/>
            </c:ext>
          </c:extLst>
        </c:ser>
        <c:ser>
          <c:idx val="3"/>
          <c:order val="3"/>
          <c:tx>
            <c:v>Low Nuclear</c:v>
          </c:tx>
          <c:spPr>
            <a:ln w="28575" cap="rnd">
              <a:solidFill>
                <a:schemeClr val="accent4"/>
              </a:solidFill>
              <a:round/>
            </a:ln>
            <a:effectLst/>
          </c:spPr>
          <c:marker>
            <c:symbol val="none"/>
          </c:marker>
          <c:val>
            <c:numRef>
              <c:f>'Low Nuclear'!$Y$7:$Y$15</c:f>
              <c:numCache>
                <c:formatCode>0.00</c:formatCode>
                <c:ptCount val="9"/>
                <c:pt idx="0">
                  <c:v>530</c:v>
                </c:pt>
                <c:pt idx="1">
                  <c:v>697.72393845806653</c:v>
                </c:pt>
                <c:pt idx="2">
                  <c:v>830.18605487976174</c:v>
                </c:pt>
                <c:pt idx="3">
                  <c:v>961.30638449602156</c:v>
                </c:pt>
                <c:pt idx="4">
                  <c:v>1071.9610955147182</c:v>
                </c:pt>
                <c:pt idx="5">
                  <c:v>1178.6676637855278</c:v>
                </c:pt>
                <c:pt idx="6">
                  <c:v>1281.4905381773251</c:v>
                </c:pt>
                <c:pt idx="7">
                  <c:v>1382.1846737474598</c:v>
                </c:pt>
                <c:pt idx="8">
                  <c:v>1470.1788200081767</c:v>
                </c:pt>
              </c:numCache>
            </c:numRef>
          </c:val>
          <c:smooth val="0"/>
          <c:extLst>
            <c:ext xmlns:c16="http://schemas.microsoft.com/office/drawing/2014/chart" uri="{C3380CC4-5D6E-409C-BE32-E72D297353CC}">
              <c16:uniqueId val="{00000003-C13D-4AD6-BEE8-C3478C8FA201}"/>
            </c:ext>
          </c:extLst>
        </c:ser>
        <c:ser>
          <c:idx val="4"/>
          <c:order val="4"/>
          <c:tx>
            <c:v>Energy Efficiency</c:v>
          </c:tx>
          <c:spPr>
            <a:ln w="28575" cap="rnd">
              <a:solidFill>
                <a:schemeClr val="accent5"/>
              </a:solidFill>
              <a:round/>
            </a:ln>
            <a:effectLst/>
          </c:spPr>
          <c:marker>
            <c:symbol val="none"/>
          </c:marker>
          <c:val>
            <c:numRef>
              <c:f>'Energy Efficiency'!$Y$7:$Y$15</c:f>
              <c:numCache>
                <c:formatCode>0.00</c:formatCode>
                <c:ptCount val="9"/>
                <c:pt idx="0">
                  <c:v>530</c:v>
                </c:pt>
                <c:pt idx="1">
                  <c:v>697.74289705655474</c:v>
                </c:pt>
                <c:pt idx="2">
                  <c:v>831.60336339235982</c:v>
                </c:pt>
                <c:pt idx="3">
                  <c:v>962.55987915831588</c:v>
                </c:pt>
                <c:pt idx="4">
                  <c:v>1074.5731311008028</c:v>
                </c:pt>
                <c:pt idx="5">
                  <c:v>1169.8948008292632</c:v>
                </c:pt>
                <c:pt idx="6">
                  <c:v>1256.8757998696283</c:v>
                </c:pt>
                <c:pt idx="7">
                  <c:v>1335.179288884259</c:v>
                </c:pt>
                <c:pt idx="8">
                  <c:v>1402.6179976980707</c:v>
                </c:pt>
              </c:numCache>
            </c:numRef>
          </c:val>
          <c:smooth val="0"/>
          <c:extLst>
            <c:ext xmlns:c16="http://schemas.microsoft.com/office/drawing/2014/chart" uri="{C3380CC4-5D6E-409C-BE32-E72D297353CC}">
              <c16:uniqueId val="{00000004-C13D-4AD6-BEE8-C3478C8FA201}"/>
            </c:ext>
          </c:extLst>
        </c:ser>
        <c:dLbls>
          <c:showLegendKey val="0"/>
          <c:showVal val="0"/>
          <c:showCatName val="0"/>
          <c:showSerName val="0"/>
          <c:showPercent val="0"/>
          <c:showBubbleSize val="0"/>
        </c:dLbls>
        <c:smooth val="0"/>
        <c:axId val="454547728"/>
        <c:axId val="454547072"/>
      </c:lineChart>
      <c:catAx>
        <c:axId val="454547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072"/>
        <c:crosses val="autoZero"/>
        <c:auto val="1"/>
        <c:lblAlgn val="ctr"/>
        <c:lblOffset val="100"/>
        <c:noMultiLvlLbl val="0"/>
      </c:catAx>
      <c:valAx>
        <c:axId val="454547072"/>
        <c:scaling>
          <c:orientation val="minMax"/>
          <c:min val="50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100"/>
              <a:t>Final welfare under each scenario</a:t>
            </a:r>
          </a:p>
        </c:rich>
      </c:tx>
      <c:layout>
        <c:manualLayout>
          <c:xMode val="edge"/>
          <c:yMode val="edge"/>
          <c:x val="0.30979994875356509"/>
          <c:y val="3.698536645574904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0"/>
          <c:tx>
            <c:v>BAU</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BAU!$AB$16</c:f>
              <c:numCache>
                <c:formatCode>#,##0.000_ ;\-#,##0.000\ </c:formatCode>
                <c:ptCount val="1"/>
                <c:pt idx="0">
                  <c:v>881.59239420249401</c:v>
                </c:pt>
              </c:numCache>
            </c:numRef>
          </c:val>
          <c:extLst>
            <c:ext xmlns:c16="http://schemas.microsoft.com/office/drawing/2014/chart" uri="{C3380CC4-5D6E-409C-BE32-E72D297353CC}">
              <c16:uniqueId val="{00000000-B21F-4496-9533-7C04EBCDC65C}"/>
            </c:ext>
          </c:extLst>
        </c:ser>
        <c:ser>
          <c:idx val="0"/>
          <c:order val="1"/>
          <c:tx>
            <c:v>IEA NZE</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'IEA NZE'!$AG$16</c:f>
              <c:numCache>
                <c:formatCode>#,##0.000_ ;\-#,##0.000\ </c:formatCode>
                <c:ptCount val="1"/>
                <c:pt idx="0">
                  <c:v>885.91949427491204</c:v>
                </c:pt>
              </c:numCache>
            </c:numRef>
          </c:val>
          <c:extLst>
            <c:ext xmlns:c16="http://schemas.microsoft.com/office/drawing/2014/chart" uri="{C3380CC4-5D6E-409C-BE32-E72D297353CC}">
              <c16:uniqueId val="{00000001-B21F-4496-9533-7C04EBCDC65C}"/>
            </c:ext>
          </c:extLst>
        </c:ser>
        <c:ser>
          <c:idx val="2"/>
          <c:order val="2"/>
          <c:tx>
            <c:v>High RES</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'High RES'!$AG$16</c:f>
              <c:numCache>
                <c:formatCode>#,##0.000_ ;\-#,##0.000\ </c:formatCode>
                <c:ptCount val="1"/>
                <c:pt idx="0">
                  <c:v>886.89556348905614</c:v>
                </c:pt>
              </c:numCache>
            </c:numRef>
          </c:val>
          <c:extLst>
            <c:ext xmlns:c16="http://schemas.microsoft.com/office/drawing/2014/chart" uri="{C3380CC4-5D6E-409C-BE32-E72D297353CC}">
              <c16:uniqueId val="{00000002-B21F-4496-9533-7C04EBCDC65C}"/>
            </c:ext>
          </c:extLst>
        </c:ser>
        <c:ser>
          <c:idx val="3"/>
          <c:order val="3"/>
          <c:tx>
            <c:v>Low Nuclear</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'Low Nuclear'!$AG$16</c:f>
              <c:numCache>
                <c:formatCode>#,##0.000_ ;\-#,##0.000\ </c:formatCode>
                <c:ptCount val="1"/>
                <c:pt idx="0">
                  <c:v>886.54933128149219</c:v>
                </c:pt>
              </c:numCache>
            </c:numRef>
          </c:val>
          <c:extLst>
            <c:ext xmlns:c16="http://schemas.microsoft.com/office/drawing/2014/chart" uri="{C3380CC4-5D6E-409C-BE32-E72D297353CC}">
              <c16:uniqueId val="{00000003-B21F-4496-9533-7C04EBCDC65C}"/>
            </c:ext>
          </c:extLst>
        </c:ser>
        <c:ser>
          <c:idx val="4"/>
          <c:order val="4"/>
          <c:tx>
            <c:v>Energy Efficiency</c:v>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'Energy Efficiency'!$AG$16</c:f>
              <c:numCache>
                <c:formatCode>#,##0.000_ ;\-#,##0.000\ </c:formatCode>
                <c:ptCount val="1"/>
                <c:pt idx="0">
                  <c:v>886.71292341187564</c:v>
                </c:pt>
              </c:numCache>
            </c:numRef>
          </c:val>
          <c:extLst>
            <c:ext xmlns:c16="http://schemas.microsoft.com/office/drawing/2014/chart" uri="{C3380CC4-5D6E-409C-BE32-E72D297353CC}">
              <c16:uniqueId val="{00000004-B21F-4496-9533-7C04EBCDC65C}"/>
            </c:ext>
          </c:extLst>
        </c:ser>
        <c:dLbls>
          <c:dLblPos val="outEnd"/>
          <c:showLegendKey val="0"/>
          <c:showVal val="1"/>
          <c:showCatName val="0"/>
          <c:showSerName val="0"/>
          <c:showPercent val="0"/>
          <c:showBubbleSize val="0"/>
        </c:dLbls>
        <c:gapWidth val="219"/>
        <c:overlap val="-27"/>
        <c:axId val="454547728"/>
        <c:axId val="454547072"/>
      </c:barChart>
      <c:catAx>
        <c:axId val="454547728"/>
        <c:scaling>
          <c:orientation val="minMax"/>
        </c:scaling>
        <c:delete val="1"/>
        <c:axPos val="b"/>
        <c:numFmt formatCode="General" sourceLinked="1"/>
        <c:majorTickMark val="none"/>
        <c:minorTickMark val="none"/>
        <c:tickLblPos val="nextTo"/>
        <c:crossAx val="454547072"/>
        <c:crosses val="autoZero"/>
        <c:auto val="1"/>
        <c:lblAlgn val="ctr"/>
        <c:lblOffset val="100"/>
        <c:noMultiLvlLbl val="0"/>
      </c:catAx>
      <c:valAx>
        <c:axId val="454547072"/>
        <c:scaling>
          <c:orientation val="minMax"/>
          <c:min val="14"/>
        </c:scaling>
        <c:delete val="1"/>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900"/>
                  <a:t>Total discounted utility until 2050</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_ ;\-#,##0.000\ " sourceLinked="1"/>
        <c:majorTickMark val="none"/>
        <c:minorTickMark val="none"/>
        <c:tickLblPos val="nextTo"/>
        <c:crossAx val="454547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50"/>
              <a:t>Electricity mix under BAU scenario</a:t>
            </a:r>
          </a:p>
        </c:rich>
      </c:tx>
      <c:layout>
        <c:manualLayout>
          <c:xMode val="edge"/>
          <c:yMode val="edge"/>
          <c:x val="0.30485007026078442"/>
          <c:y val="2.787456445993031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696108040381507E-2"/>
          <c:y val="0.1197032916087158"/>
          <c:w val="0.84724303605036311"/>
          <c:h val="0.67596946765520793"/>
        </c:manualLayout>
      </c:layout>
      <c:areaChart>
        <c:grouping val="percentStacked"/>
        <c:varyColors val="0"/>
        <c:ser>
          <c:idx val="0"/>
          <c:order val="0"/>
          <c:tx>
            <c:v>Solar</c:v>
          </c:tx>
          <c:spPr>
            <a:solidFill>
              <a:schemeClr val="accent6">
                <a:lumMod val="60000"/>
                <a:lumOff val="40000"/>
              </a:schemeClr>
            </a:solidFill>
            <a:ln>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BAU!$H$7:$H$15</c:f>
              <c:numCache>
                <c:formatCode>#,##0_ ;\-#,##0\ </c:formatCode>
                <c:ptCount val="9"/>
                <c:pt idx="0">
                  <c:v>5558.5525120936427</c:v>
                </c:pt>
                <c:pt idx="1">
                  <c:v>8386.0137763945277</c:v>
                </c:pt>
                <c:pt idx="2">
                  <c:v>13073.931472157703</c:v>
                </c:pt>
                <c:pt idx="3">
                  <c:v>18516.654293998592</c:v>
                </c:pt>
                <c:pt idx="4">
                  <c:v>25251.137040251506</c:v>
                </c:pt>
                <c:pt idx="5">
                  <c:v>30841.43856212396</c:v>
                </c:pt>
                <c:pt idx="6">
                  <c:v>40047.510127462956</c:v>
                </c:pt>
                <c:pt idx="7">
                  <c:v>44337.715047500649</c:v>
                </c:pt>
                <c:pt idx="8">
                  <c:v>49844.4204311781</c:v>
                </c:pt>
              </c:numCache>
            </c:numRef>
          </c:val>
          <c:extLst>
            <c:ext xmlns:c16="http://schemas.microsoft.com/office/drawing/2014/chart" uri="{C3380CC4-5D6E-409C-BE32-E72D297353CC}">
              <c16:uniqueId val="{00000000-3D34-4765-8779-59CBB88D2B77}"/>
            </c:ext>
          </c:extLst>
        </c:ser>
        <c:ser>
          <c:idx val="1"/>
          <c:order val="1"/>
          <c:tx>
            <c:v>Wind</c:v>
          </c:tx>
          <c:spPr>
            <a:solidFill>
              <a:schemeClr val="accent5"/>
            </a:solidFill>
            <a:ln>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BAU!$I$7:$I$15</c:f>
              <c:numCache>
                <c:formatCode>#,##0_ ;\-#,##0\ </c:formatCode>
                <c:ptCount val="9"/>
                <c:pt idx="0">
                  <c:v>30469.089209330185</c:v>
                </c:pt>
                <c:pt idx="1">
                  <c:v>41841.728631506485</c:v>
                </c:pt>
                <c:pt idx="2">
                  <c:v>54357.010173564006</c:v>
                </c:pt>
                <c:pt idx="3">
                  <c:v>69008.957429530405</c:v>
                </c:pt>
                <c:pt idx="4">
                  <c:v>83824.725597992176</c:v>
                </c:pt>
                <c:pt idx="5">
                  <c:v>88720.961258236348</c:v>
                </c:pt>
                <c:pt idx="6">
                  <c:v>93085.905105475351</c:v>
                </c:pt>
                <c:pt idx="7">
                  <c:v>93999.633500415643</c:v>
                </c:pt>
                <c:pt idx="8">
                  <c:v>96212.05947954471</c:v>
                </c:pt>
              </c:numCache>
            </c:numRef>
          </c:val>
          <c:extLst>
            <c:ext xmlns:c16="http://schemas.microsoft.com/office/drawing/2014/chart" uri="{C3380CC4-5D6E-409C-BE32-E72D297353CC}">
              <c16:uniqueId val="{00000001-3D34-4765-8779-59CBB88D2B77}"/>
            </c:ext>
          </c:extLst>
        </c:ser>
        <c:ser>
          <c:idx val="2"/>
          <c:order val="2"/>
          <c:tx>
            <c:v>Nuclear</c:v>
          </c:tx>
          <c:spPr>
            <a:solidFill>
              <a:schemeClr val="accent4"/>
            </a:solidFill>
            <a:ln>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BAU!$J$7:$J$15</c:f>
              <c:numCache>
                <c:formatCode>#,##0_ ;\-#,##0\ </c:formatCode>
                <c:ptCount val="9"/>
                <c:pt idx="0">
                  <c:v>47713.783904195465</c:v>
                </c:pt>
                <c:pt idx="1">
                  <c:v>37782.884742741669</c:v>
                </c:pt>
                <c:pt idx="2">
                  <c:v>30327.581326234573</c:v>
                </c:pt>
                <c:pt idx="3">
                  <c:v>28303.627304973525</c:v>
                </c:pt>
                <c:pt idx="4">
                  <c:v>26809.43530220192</c:v>
                </c:pt>
                <c:pt idx="5">
                  <c:v>27417.751690707621</c:v>
                </c:pt>
                <c:pt idx="6">
                  <c:v>26999.348392488035</c:v>
                </c:pt>
                <c:pt idx="7">
                  <c:v>26873.274494908906</c:v>
                </c:pt>
                <c:pt idx="8">
                  <c:v>26070.174619450077</c:v>
                </c:pt>
              </c:numCache>
            </c:numRef>
          </c:val>
          <c:extLst>
            <c:ext xmlns:c16="http://schemas.microsoft.com/office/drawing/2014/chart" uri="{C3380CC4-5D6E-409C-BE32-E72D297353CC}">
              <c16:uniqueId val="{00000002-3D34-4765-8779-59CBB88D2B77}"/>
            </c:ext>
          </c:extLst>
        </c:ser>
        <c:ser>
          <c:idx val="3"/>
          <c:order val="3"/>
          <c:tx>
            <c:v>Fossil fuels (includes natural gas)</c:v>
          </c:tx>
          <c:spPr>
            <a:solidFill>
              <a:schemeClr val="tx1"/>
            </a:solidFill>
            <a:ln>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BAU!$K$7:$K$15</c:f>
              <c:numCache>
                <c:formatCode>#,##0_ ;\-#,##0\ </c:formatCode>
                <c:ptCount val="9"/>
                <c:pt idx="0">
                  <c:v>166333.88279574344</c:v>
                </c:pt>
                <c:pt idx="1">
                  <c:v>143595.27427048469</c:v>
                </c:pt>
                <c:pt idx="2">
                  <c:v>105528.22231354791</c:v>
                </c:pt>
                <c:pt idx="3">
                  <c:v>113246.35374422368</c:v>
                </c:pt>
                <c:pt idx="4">
                  <c:v>108794.19158191619</c:v>
                </c:pt>
                <c:pt idx="5">
                  <c:v>109529.20940741168</c:v>
                </c:pt>
                <c:pt idx="6">
                  <c:v>109594.80931686585</c:v>
                </c:pt>
                <c:pt idx="7">
                  <c:v>111849.62140998572</c:v>
                </c:pt>
                <c:pt idx="8">
                  <c:v>113149.13320620049</c:v>
                </c:pt>
              </c:numCache>
            </c:numRef>
          </c:val>
          <c:extLst>
            <c:ext xmlns:c16="http://schemas.microsoft.com/office/drawing/2014/chart" uri="{C3380CC4-5D6E-409C-BE32-E72D297353CC}">
              <c16:uniqueId val="{00000003-3D34-4765-8779-59CBB88D2B77}"/>
            </c:ext>
          </c:extLst>
        </c:ser>
        <c:dLbls>
          <c:showLegendKey val="0"/>
          <c:showVal val="0"/>
          <c:showCatName val="0"/>
          <c:showSerName val="0"/>
          <c:showPercent val="0"/>
          <c:showBubbleSize val="0"/>
        </c:dLbls>
        <c:axId val="575668864"/>
        <c:axId val="575676408"/>
      </c:areaChart>
      <c:catAx>
        <c:axId val="57566886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5676408"/>
        <c:crosses val="autoZero"/>
        <c:auto val="1"/>
        <c:lblAlgn val="ctr"/>
        <c:lblOffset val="100"/>
        <c:noMultiLvlLbl val="0"/>
      </c:catAx>
      <c:valAx>
        <c:axId val="5756764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566886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50"/>
              <a:t>Electricity mix under IEA</a:t>
            </a:r>
            <a:r>
              <a:rPr lang="en-GB" sz="1050" baseline="0"/>
              <a:t> NZE</a:t>
            </a:r>
            <a:r>
              <a:rPr lang="en-GB" sz="1050"/>
              <a:t> scenario</a:t>
            </a:r>
          </a:p>
        </c:rich>
      </c:tx>
      <c:layout>
        <c:manualLayout>
          <c:xMode val="edge"/>
          <c:yMode val="edge"/>
          <c:x val="0.30485007026078442"/>
          <c:y val="2.787456445993031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696108040381507E-2"/>
          <c:y val="0.1197032916087158"/>
          <c:w val="0.84724303605036311"/>
          <c:h val="0.67596946765520793"/>
        </c:manualLayout>
      </c:layout>
      <c:areaChart>
        <c:grouping val="percentStacked"/>
        <c:varyColors val="0"/>
        <c:ser>
          <c:idx val="0"/>
          <c:order val="0"/>
          <c:tx>
            <c:v>Solar</c:v>
          </c:tx>
          <c:spPr>
            <a:solidFill>
              <a:schemeClr val="accent6">
                <a:lumMod val="60000"/>
                <a:lumOff val="40000"/>
              </a:schemeClr>
            </a:solidFill>
            <a:ln>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'IEA NZE'!$H$7:$H$15</c:f>
              <c:numCache>
                <c:formatCode>#,##0_ ;\-#,##0\ </c:formatCode>
                <c:ptCount val="9"/>
                <c:pt idx="0">
                  <c:v>9146.3410262155503</c:v>
                </c:pt>
                <c:pt idx="1">
                  <c:v>8548.881871261412</c:v>
                </c:pt>
                <c:pt idx="2">
                  <c:v>7555.8071452374033</c:v>
                </c:pt>
                <c:pt idx="3">
                  <c:v>52266.106227299118</c:v>
                </c:pt>
                <c:pt idx="4">
                  <c:v>55375.650727690052</c:v>
                </c:pt>
                <c:pt idx="5">
                  <c:v>92623.745800238437</c:v>
                </c:pt>
                <c:pt idx="6">
                  <c:v>96257.119268770577</c:v>
                </c:pt>
                <c:pt idx="7">
                  <c:v>107766.18953210938</c:v>
                </c:pt>
                <c:pt idx="8">
                  <c:v>110418.46191721087</c:v>
                </c:pt>
              </c:numCache>
            </c:numRef>
          </c:val>
          <c:extLst>
            <c:ext xmlns:c16="http://schemas.microsoft.com/office/drawing/2014/chart" uri="{C3380CC4-5D6E-409C-BE32-E72D297353CC}">
              <c16:uniqueId val="{00000000-938E-42F2-B2E5-8DA4B38850B3}"/>
            </c:ext>
          </c:extLst>
        </c:ser>
        <c:ser>
          <c:idx val="1"/>
          <c:order val="1"/>
          <c:tx>
            <c:v>Wind</c:v>
          </c:tx>
          <c:spPr>
            <a:solidFill>
              <a:schemeClr val="accent5"/>
            </a:solidFill>
            <a:ln>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'IEA NZE'!$I$7:$I$15</c:f>
              <c:numCache>
                <c:formatCode>#,##0_ ;\-#,##0\ </c:formatCode>
                <c:ptCount val="9"/>
                <c:pt idx="0">
                  <c:v>17735.657629397268</c:v>
                </c:pt>
                <c:pt idx="1">
                  <c:v>16577.125382519083</c:v>
                </c:pt>
                <c:pt idx="2">
                  <c:v>14651.455511836719</c:v>
                </c:pt>
                <c:pt idx="3">
                  <c:v>60049.781731450697</c:v>
                </c:pt>
                <c:pt idx="4">
                  <c:v>63622.41191210071</c:v>
                </c:pt>
                <c:pt idx="5">
                  <c:v>102173.81905637246</c:v>
                </c:pt>
                <c:pt idx="6">
                  <c:v>106181.81549541383</c:v>
                </c:pt>
                <c:pt idx="7">
                  <c:v>113809.06760208489</c:v>
                </c:pt>
                <c:pt idx="8">
                  <c:v>116610.06342912228</c:v>
                </c:pt>
              </c:numCache>
            </c:numRef>
          </c:val>
          <c:extLst>
            <c:ext xmlns:c16="http://schemas.microsoft.com/office/drawing/2014/chart" uri="{C3380CC4-5D6E-409C-BE32-E72D297353CC}">
              <c16:uniqueId val="{00000001-938E-42F2-B2E5-8DA4B38850B3}"/>
            </c:ext>
          </c:extLst>
        </c:ser>
        <c:ser>
          <c:idx val="2"/>
          <c:order val="2"/>
          <c:tx>
            <c:v>Nuclear</c:v>
          </c:tx>
          <c:spPr>
            <a:solidFill>
              <a:schemeClr val="accent4"/>
            </a:solidFill>
            <a:ln>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'IEA NZE'!$J$7:$J$15</c:f>
              <c:numCache>
                <c:formatCode>#,##0_ ;\-#,##0\ </c:formatCode>
                <c:ptCount val="9"/>
                <c:pt idx="0">
                  <c:v>30057.03786690567</c:v>
                </c:pt>
                <c:pt idx="1">
                  <c:v>28093.645905801815</c:v>
                </c:pt>
                <c:pt idx="2">
                  <c:v>24830.167695311222</c:v>
                </c:pt>
                <c:pt idx="3">
                  <c:v>28322.680519441721</c:v>
                </c:pt>
                <c:pt idx="4">
                  <c:v>30007.723500500048</c:v>
                </c:pt>
                <c:pt idx="5">
                  <c:v>26404.103450188337</c:v>
                </c:pt>
                <c:pt idx="6">
                  <c:v>27439.863428447017</c:v>
                </c:pt>
                <c:pt idx="7">
                  <c:v>25241.413944267126</c:v>
                </c:pt>
                <c:pt idx="8">
                  <c:v>25862.639446031277</c:v>
                </c:pt>
              </c:numCache>
            </c:numRef>
          </c:val>
          <c:extLst>
            <c:ext xmlns:c16="http://schemas.microsoft.com/office/drawing/2014/chart" uri="{C3380CC4-5D6E-409C-BE32-E72D297353CC}">
              <c16:uniqueId val="{00000002-938E-42F2-B2E5-8DA4B38850B3}"/>
            </c:ext>
          </c:extLst>
        </c:ser>
        <c:ser>
          <c:idx val="3"/>
          <c:order val="3"/>
          <c:tx>
            <c:v>Fossil fuels (includes natural gas)</c:v>
          </c:tx>
          <c:spPr>
            <a:solidFill>
              <a:schemeClr val="tx1"/>
            </a:solidFill>
            <a:ln w="25400">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'IEA NZE'!$K$7:$K$15</c:f>
              <c:numCache>
                <c:formatCode>#,##0_ ;\-#,##0\ </c:formatCode>
                <c:ptCount val="9"/>
                <c:pt idx="0">
                  <c:v>182503.48196280529</c:v>
                </c:pt>
                <c:pt idx="1">
                  <c:v>170581.9522716254</c:v>
                </c:pt>
                <c:pt idx="2">
                  <c:v>150766.42223298311</c:v>
                </c:pt>
                <c:pt idx="3">
                  <c:v>70173.059121243219</c:v>
                </c:pt>
                <c:pt idx="4">
                  <c:v>74347.968365813998</c:v>
                </c:pt>
                <c:pt idx="5">
                  <c:v>3437.1562060801293</c:v>
                </c:pt>
                <c:pt idx="6">
                  <c:v>3571.9863412520112</c:v>
                </c:pt>
                <c:pt idx="7">
                  <c:v>1189.2898329207178</c:v>
                </c:pt>
                <c:pt idx="8">
                  <c:v>1218.559872025123</c:v>
                </c:pt>
              </c:numCache>
            </c:numRef>
          </c:val>
          <c:extLst>
            <c:ext xmlns:c16="http://schemas.microsoft.com/office/drawing/2014/chart" uri="{C3380CC4-5D6E-409C-BE32-E72D297353CC}">
              <c16:uniqueId val="{00000003-938E-42F2-B2E5-8DA4B38850B3}"/>
            </c:ext>
          </c:extLst>
        </c:ser>
        <c:dLbls>
          <c:showLegendKey val="0"/>
          <c:showVal val="0"/>
          <c:showCatName val="0"/>
          <c:showSerName val="0"/>
          <c:showPercent val="0"/>
          <c:showBubbleSize val="0"/>
        </c:dLbls>
        <c:axId val="575668864"/>
        <c:axId val="575676408"/>
      </c:areaChart>
      <c:catAx>
        <c:axId val="57566886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5676408"/>
        <c:crosses val="autoZero"/>
        <c:auto val="1"/>
        <c:lblAlgn val="ctr"/>
        <c:lblOffset val="100"/>
        <c:noMultiLvlLbl val="0"/>
      </c:catAx>
      <c:valAx>
        <c:axId val="5756764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566886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50"/>
              <a:t>Electricity mix under High RES scenario</a:t>
            </a:r>
          </a:p>
        </c:rich>
      </c:tx>
      <c:layout>
        <c:manualLayout>
          <c:xMode val="edge"/>
          <c:yMode val="edge"/>
          <c:x val="0.30485007026078442"/>
          <c:y val="2.787456445993031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696108040381507E-2"/>
          <c:y val="0.1197032916087158"/>
          <c:w val="0.84724303605036311"/>
          <c:h val="0.67596946765520793"/>
        </c:manualLayout>
      </c:layout>
      <c:areaChart>
        <c:grouping val="percentStacked"/>
        <c:varyColors val="0"/>
        <c:ser>
          <c:idx val="0"/>
          <c:order val="0"/>
          <c:tx>
            <c:v>Solar</c:v>
          </c:tx>
          <c:spPr>
            <a:solidFill>
              <a:schemeClr val="accent6">
                <a:lumMod val="60000"/>
                <a:lumOff val="40000"/>
              </a:schemeClr>
            </a:solidFill>
            <a:ln>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'High RES'!$H$7:$H$15</c:f>
              <c:numCache>
                <c:formatCode>#,##0_ ;\-#,##0\ </c:formatCode>
                <c:ptCount val="9"/>
                <c:pt idx="0">
                  <c:v>5559.3172086930372</c:v>
                </c:pt>
                <c:pt idx="1">
                  <c:v>8406.2977035764925</c:v>
                </c:pt>
                <c:pt idx="2">
                  <c:v>13748.398137477629</c:v>
                </c:pt>
                <c:pt idx="3">
                  <c:v>23575.277537099944</c:v>
                </c:pt>
                <c:pt idx="4">
                  <c:v>43722.485301554501</c:v>
                </c:pt>
                <c:pt idx="5">
                  <c:v>56901.485786933714</c:v>
                </c:pt>
                <c:pt idx="6">
                  <c:v>69860.585141586096</c:v>
                </c:pt>
                <c:pt idx="7">
                  <c:v>80152.999476753161</c:v>
                </c:pt>
                <c:pt idx="8">
                  <c:v>90965.710287184847</c:v>
                </c:pt>
              </c:numCache>
            </c:numRef>
          </c:val>
          <c:extLst>
            <c:ext xmlns:c16="http://schemas.microsoft.com/office/drawing/2014/chart" uri="{C3380CC4-5D6E-409C-BE32-E72D297353CC}">
              <c16:uniqueId val="{00000000-FD39-44E2-A544-0654FFA64735}"/>
            </c:ext>
          </c:extLst>
        </c:ser>
        <c:ser>
          <c:idx val="1"/>
          <c:order val="1"/>
          <c:tx>
            <c:v>Wind</c:v>
          </c:tx>
          <c:spPr>
            <a:solidFill>
              <a:schemeClr val="accent5"/>
            </a:solidFill>
            <a:ln>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'IEA NZE'!$I$7:$I$15</c:f>
              <c:numCache>
                <c:formatCode>#,##0_ ;\-#,##0\ </c:formatCode>
                <c:ptCount val="9"/>
                <c:pt idx="0">
                  <c:v>17735.657629397268</c:v>
                </c:pt>
                <c:pt idx="1">
                  <c:v>16577.125382519083</c:v>
                </c:pt>
                <c:pt idx="2">
                  <c:v>14651.455511836719</c:v>
                </c:pt>
                <c:pt idx="3">
                  <c:v>60049.781731450697</c:v>
                </c:pt>
                <c:pt idx="4">
                  <c:v>63622.41191210071</c:v>
                </c:pt>
                <c:pt idx="5">
                  <c:v>102173.81905637246</c:v>
                </c:pt>
                <c:pt idx="6">
                  <c:v>106181.81549541383</c:v>
                </c:pt>
                <c:pt idx="7">
                  <c:v>113809.06760208489</c:v>
                </c:pt>
                <c:pt idx="8">
                  <c:v>116610.06342912228</c:v>
                </c:pt>
              </c:numCache>
            </c:numRef>
          </c:val>
          <c:extLst>
            <c:ext xmlns:c16="http://schemas.microsoft.com/office/drawing/2014/chart" uri="{C3380CC4-5D6E-409C-BE32-E72D297353CC}">
              <c16:uniqueId val="{00000001-FD39-44E2-A544-0654FFA64735}"/>
            </c:ext>
          </c:extLst>
        </c:ser>
        <c:ser>
          <c:idx val="2"/>
          <c:order val="2"/>
          <c:tx>
            <c:v>Nuclear</c:v>
          </c:tx>
          <c:spPr>
            <a:solidFill>
              <a:schemeClr val="accent4"/>
            </a:solidFill>
            <a:ln>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'High RES'!$J$7:$J$15</c:f>
              <c:numCache>
                <c:formatCode>#,##0_ ;\-#,##0\ </c:formatCode>
                <c:ptCount val="9"/>
                <c:pt idx="0">
                  <c:v>47720.347945502341</c:v>
                </c:pt>
                <c:pt idx="1">
                  <c:v>37889.206829909628</c:v>
                </c:pt>
                <c:pt idx="2">
                  <c:v>29881.531838158284</c:v>
                </c:pt>
                <c:pt idx="3">
                  <c:v>27272.361473606685</c:v>
                </c:pt>
                <c:pt idx="4">
                  <c:v>20043.307146330913</c:v>
                </c:pt>
                <c:pt idx="5">
                  <c:v>15560.399481870791</c:v>
                </c:pt>
                <c:pt idx="6">
                  <c:v>12726.081927138761</c:v>
                </c:pt>
                <c:pt idx="7">
                  <c:v>9785.4371310306251</c:v>
                </c:pt>
                <c:pt idx="8">
                  <c:v>6133.3047331966181</c:v>
                </c:pt>
              </c:numCache>
            </c:numRef>
          </c:val>
          <c:extLst>
            <c:ext xmlns:c16="http://schemas.microsoft.com/office/drawing/2014/chart" uri="{C3380CC4-5D6E-409C-BE32-E72D297353CC}">
              <c16:uniqueId val="{00000002-FD39-44E2-A544-0654FFA64735}"/>
            </c:ext>
          </c:extLst>
        </c:ser>
        <c:ser>
          <c:idx val="3"/>
          <c:order val="3"/>
          <c:tx>
            <c:v>Fossil fuels (includes natural gas)</c:v>
          </c:tx>
          <c:spPr>
            <a:solidFill>
              <a:schemeClr val="tx1"/>
            </a:solidFill>
            <a:ln w="25400">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'High RES'!$K$7:$K$15</c:f>
              <c:numCache>
                <c:formatCode>#,##0_ ;\-#,##0\ </c:formatCode>
                <c:ptCount val="9"/>
                <c:pt idx="0">
                  <c:v>166313.54618313035</c:v>
                </c:pt>
                <c:pt idx="1">
                  <c:v>141517.96380639906</c:v>
                </c:pt>
                <c:pt idx="2">
                  <c:v>100767.29344666607</c:v>
                </c:pt>
                <c:pt idx="3">
                  <c:v>100966.50990071571</c:v>
                </c:pt>
                <c:pt idx="4">
                  <c:v>81509.837198496054</c:v>
                </c:pt>
                <c:pt idx="5">
                  <c:v>67714.283811454661</c:v>
                </c:pt>
                <c:pt idx="6">
                  <c:v>54193.518151949807</c:v>
                </c:pt>
                <c:pt idx="7">
                  <c:v>46006.597989740636</c:v>
                </c:pt>
                <c:pt idx="8">
                  <c:v>39641.889162162595</c:v>
                </c:pt>
              </c:numCache>
            </c:numRef>
          </c:val>
          <c:extLst>
            <c:ext xmlns:c16="http://schemas.microsoft.com/office/drawing/2014/chart" uri="{C3380CC4-5D6E-409C-BE32-E72D297353CC}">
              <c16:uniqueId val="{00000003-FD39-44E2-A544-0654FFA64735}"/>
            </c:ext>
          </c:extLst>
        </c:ser>
        <c:dLbls>
          <c:showLegendKey val="0"/>
          <c:showVal val="0"/>
          <c:showCatName val="0"/>
          <c:showSerName val="0"/>
          <c:showPercent val="0"/>
          <c:showBubbleSize val="0"/>
        </c:dLbls>
        <c:axId val="575668864"/>
        <c:axId val="575676408"/>
      </c:areaChart>
      <c:catAx>
        <c:axId val="57566886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5676408"/>
        <c:crosses val="autoZero"/>
        <c:auto val="1"/>
        <c:lblAlgn val="ctr"/>
        <c:lblOffset val="100"/>
        <c:noMultiLvlLbl val="0"/>
      </c:catAx>
      <c:valAx>
        <c:axId val="5756764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566886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50"/>
              <a:t>Electricity mix under Low Nuclear scenario</a:t>
            </a:r>
          </a:p>
        </c:rich>
      </c:tx>
      <c:layout>
        <c:manualLayout>
          <c:xMode val="edge"/>
          <c:yMode val="edge"/>
          <c:x val="0.25211618224616356"/>
          <c:y val="2.3267253998226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696108040381507E-2"/>
          <c:y val="0.1197032916087158"/>
          <c:w val="0.84724303605036311"/>
          <c:h val="0.67596946765520793"/>
        </c:manualLayout>
      </c:layout>
      <c:areaChart>
        <c:grouping val="percentStacked"/>
        <c:varyColors val="0"/>
        <c:ser>
          <c:idx val="0"/>
          <c:order val="0"/>
          <c:tx>
            <c:v>Solar</c:v>
          </c:tx>
          <c:spPr>
            <a:solidFill>
              <a:schemeClr val="accent6">
                <a:lumMod val="60000"/>
                <a:lumOff val="40000"/>
              </a:schemeClr>
            </a:solidFill>
            <a:ln>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'Low Nuclear'!$H$7:$H$15</c:f>
              <c:numCache>
                <c:formatCode>#,##0_ ;\-#,##0\ </c:formatCode>
                <c:ptCount val="9"/>
                <c:pt idx="0">
                  <c:v>5558.6066429863486</c:v>
                </c:pt>
                <c:pt idx="1">
                  <c:v>8436.0111025854276</c:v>
                </c:pt>
                <c:pt idx="2">
                  <c:v>13481.116767680476</c:v>
                </c:pt>
                <c:pt idx="3">
                  <c:v>21303.250115903225</c:v>
                </c:pt>
                <c:pt idx="4">
                  <c:v>33888.293964177836</c:v>
                </c:pt>
                <c:pt idx="5">
                  <c:v>43316.429218002078</c:v>
                </c:pt>
                <c:pt idx="6">
                  <c:v>56051.364767958978</c:v>
                </c:pt>
                <c:pt idx="7">
                  <c:v>64909.021984537998</c:v>
                </c:pt>
                <c:pt idx="8">
                  <c:v>74068.393832714224</c:v>
                </c:pt>
              </c:numCache>
            </c:numRef>
          </c:val>
          <c:extLst>
            <c:ext xmlns:c16="http://schemas.microsoft.com/office/drawing/2014/chart" uri="{C3380CC4-5D6E-409C-BE32-E72D297353CC}">
              <c16:uniqueId val="{00000000-D8BA-4FD7-98AA-65445907C42C}"/>
            </c:ext>
          </c:extLst>
        </c:ser>
        <c:ser>
          <c:idx val="1"/>
          <c:order val="1"/>
          <c:tx>
            <c:v>Wind</c:v>
          </c:tx>
          <c:spPr>
            <a:solidFill>
              <a:schemeClr val="accent5"/>
            </a:solidFill>
            <a:ln>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'Low Nuclear'!$I$7:$I$15</c:f>
              <c:numCache>
                <c:formatCode>#,##0_ ;\-#,##0\ </c:formatCode>
                <c:ptCount val="9"/>
                <c:pt idx="0">
                  <c:v>30469.385926685154</c:v>
                </c:pt>
                <c:pt idx="1">
                  <c:v>43253.149365793666</c:v>
                </c:pt>
                <c:pt idx="2">
                  <c:v>59039.729250460325</c:v>
                </c:pt>
                <c:pt idx="3">
                  <c:v>79118.809782205542</c:v>
                </c:pt>
                <c:pt idx="4">
                  <c:v>101790.50583139574</c:v>
                </c:pt>
                <c:pt idx="5">
                  <c:v>111524.14689355674</c:v>
                </c:pt>
                <c:pt idx="6">
                  <c:v>118638.84515261695</c:v>
                </c:pt>
                <c:pt idx="7">
                  <c:v>122707.60704175716</c:v>
                </c:pt>
                <c:pt idx="8">
                  <c:v>131146.83197111849</c:v>
                </c:pt>
              </c:numCache>
            </c:numRef>
          </c:val>
          <c:extLst>
            <c:ext xmlns:c16="http://schemas.microsoft.com/office/drawing/2014/chart" uri="{C3380CC4-5D6E-409C-BE32-E72D297353CC}">
              <c16:uniqueId val="{00000001-D8BA-4FD7-98AA-65445907C42C}"/>
            </c:ext>
          </c:extLst>
        </c:ser>
        <c:ser>
          <c:idx val="2"/>
          <c:order val="2"/>
          <c:tx>
            <c:v>Nuclear</c:v>
          </c:tx>
          <c:spPr>
            <a:solidFill>
              <a:schemeClr val="accent4"/>
            </a:solidFill>
            <a:ln>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'Low Nuclear'!$J$7:$J$15</c:f>
              <c:numCache>
                <c:formatCode>#,##0_ ;\-#,##0\ </c:formatCode>
                <c:ptCount val="9"/>
                <c:pt idx="0">
                  <c:v>47714.248555687293</c:v>
                </c:pt>
                <c:pt idx="1">
                  <c:v>37860.280679291864</c:v>
                </c:pt>
                <c:pt idx="2">
                  <c:v>29626.01326424197</c:v>
                </c:pt>
                <c:pt idx="3">
                  <c:v>25036.543779542226</c:v>
                </c:pt>
                <c:pt idx="4">
                  <c:v>15359.257564435306</c:v>
                </c:pt>
                <c:pt idx="5">
                  <c:v>9069.2367722072959</c:v>
                </c:pt>
                <c:pt idx="6">
                  <c:v>6565.0080727649547</c:v>
                </c:pt>
                <c:pt idx="7">
                  <c:v>3978.2845496199584</c:v>
                </c:pt>
                <c:pt idx="8">
                  <c:v>3015.6680127045206</c:v>
                </c:pt>
              </c:numCache>
            </c:numRef>
          </c:val>
          <c:extLst>
            <c:ext xmlns:c16="http://schemas.microsoft.com/office/drawing/2014/chart" uri="{C3380CC4-5D6E-409C-BE32-E72D297353CC}">
              <c16:uniqueId val="{00000002-D8BA-4FD7-98AA-65445907C42C}"/>
            </c:ext>
          </c:extLst>
        </c:ser>
        <c:ser>
          <c:idx val="3"/>
          <c:order val="3"/>
          <c:tx>
            <c:v>Fossil fuels (includes natural gas)</c:v>
          </c:tx>
          <c:spPr>
            <a:solidFill>
              <a:schemeClr val="tx1"/>
            </a:solidFill>
            <a:ln w="25400">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'Low Nuclear'!$K$7:$K$15</c:f>
              <c:numCache>
                <c:formatCode>#,##0_ ;\-#,##0\ </c:formatCode>
                <c:ptCount val="9"/>
                <c:pt idx="0">
                  <c:v>166331.50804992829</c:v>
                </c:pt>
                <c:pt idx="1">
                  <c:v>141975.67618165538</c:v>
                </c:pt>
                <c:pt idx="2">
                  <c:v>101347.98893821714</c:v>
                </c:pt>
                <c:pt idx="3">
                  <c:v>104154.83302442712</c:v>
                </c:pt>
                <c:pt idx="4">
                  <c:v>94275.325709302866</c:v>
                </c:pt>
                <c:pt idx="5">
                  <c:v>92207.911574142505</c:v>
                </c:pt>
                <c:pt idx="6">
                  <c:v>88648.903792538462</c:v>
                </c:pt>
                <c:pt idx="7">
                  <c:v>86248.150618829226</c:v>
                </c:pt>
                <c:pt idx="8">
                  <c:v>77437.164060957017</c:v>
                </c:pt>
              </c:numCache>
            </c:numRef>
          </c:val>
          <c:extLst>
            <c:ext xmlns:c16="http://schemas.microsoft.com/office/drawing/2014/chart" uri="{C3380CC4-5D6E-409C-BE32-E72D297353CC}">
              <c16:uniqueId val="{00000003-D8BA-4FD7-98AA-65445907C42C}"/>
            </c:ext>
          </c:extLst>
        </c:ser>
        <c:dLbls>
          <c:showLegendKey val="0"/>
          <c:showVal val="0"/>
          <c:showCatName val="0"/>
          <c:showSerName val="0"/>
          <c:showPercent val="0"/>
          <c:showBubbleSize val="0"/>
        </c:dLbls>
        <c:axId val="575668864"/>
        <c:axId val="575676408"/>
      </c:areaChart>
      <c:catAx>
        <c:axId val="57566886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5676408"/>
        <c:crosses val="autoZero"/>
        <c:auto val="1"/>
        <c:lblAlgn val="ctr"/>
        <c:lblOffset val="100"/>
        <c:noMultiLvlLbl val="0"/>
      </c:catAx>
      <c:valAx>
        <c:axId val="5756764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566886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50"/>
              <a:t>Electricity mix under Energy Efficiency scenario</a:t>
            </a:r>
          </a:p>
        </c:rich>
      </c:tx>
      <c:layout>
        <c:manualLayout>
          <c:xMode val="edge"/>
          <c:yMode val="edge"/>
          <c:x val="0.22991246797562223"/>
          <c:y val="2.326410443507839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696108040381507E-2"/>
          <c:y val="0.1197032916087158"/>
          <c:w val="0.84724303605036311"/>
          <c:h val="0.67596946765520793"/>
        </c:manualLayout>
      </c:layout>
      <c:areaChart>
        <c:grouping val="percentStacked"/>
        <c:varyColors val="0"/>
        <c:ser>
          <c:idx val="0"/>
          <c:order val="0"/>
          <c:tx>
            <c:v>Solar</c:v>
          </c:tx>
          <c:spPr>
            <a:solidFill>
              <a:schemeClr val="accent6">
                <a:lumMod val="60000"/>
                <a:lumOff val="40000"/>
              </a:schemeClr>
            </a:solidFill>
            <a:ln>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'Energy Efficiency'!$H$7:$H$15</c:f>
              <c:numCache>
                <c:formatCode>#,##0_ ;\-#,##0\ </c:formatCode>
                <c:ptCount val="9"/>
                <c:pt idx="0">
                  <c:v>5558.4848499603177</c:v>
                </c:pt>
                <c:pt idx="1">
                  <c:v>8471.6515171007559</c:v>
                </c:pt>
                <c:pt idx="2">
                  <c:v>13226.274789357909</c:v>
                </c:pt>
                <c:pt idx="3">
                  <c:v>19983.820540782257</c:v>
                </c:pt>
                <c:pt idx="4">
                  <c:v>30691.195103783753</c:v>
                </c:pt>
                <c:pt idx="5">
                  <c:v>40742.567886529214</c:v>
                </c:pt>
                <c:pt idx="6">
                  <c:v>52198.416596091614</c:v>
                </c:pt>
                <c:pt idx="7">
                  <c:v>62760.72088750168</c:v>
                </c:pt>
                <c:pt idx="8">
                  <c:v>75019.22740225961</c:v>
                </c:pt>
              </c:numCache>
            </c:numRef>
          </c:val>
          <c:extLst>
            <c:ext xmlns:c16="http://schemas.microsoft.com/office/drawing/2014/chart" uri="{C3380CC4-5D6E-409C-BE32-E72D297353CC}">
              <c16:uniqueId val="{00000000-DEAE-4A5A-86B4-ABA693944555}"/>
            </c:ext>
          </c:extLst>
        </c:ser>
        <c:ser>
          <c:idx val="1"/>
          <c:order val="1"/>
          <c:tx>
            <c:v>Wind</c:v>
          </c:tx>
          <c:spPr>
            <a:solidFill>
              <a:schemeClr val="accent5"/>
            </a:solidFill>
            <a:ln>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'Energy Efficiency'!$I$7:$I$15</c:f>
              <c:numCache>
                <c:formatCode>#,##0_ ;\-#,##0\ </c:formatCode>
                <c:ptCount val="9"/>
                <c:pt idx="0">
                  <c:v>30468.718320763077</c:v>
                </c:pt>
                <c:pt idx="1">
                  <c:v>42884.37199908631</c:v>
                </c:pt>
                <c:pt idx="2">
                  <c:v>58199.453849758829</c:v>
                </c:pt>
                <c:pt idx="3">
                  <c:v>77374.339553229176</c:v>
                </c:pt>
                <c:pt idx="4">
                  <c:v>97759.007356705246</c:v>
                </c:pt>
                <c:pt idx="5">
                  <c:v>107209.71452803507</c:v>
                </c:pt>
                <c:pt idx="6">
                  <c:v>115611.68015106711</c:v>
                </c:pt>
                <c:pt idx="7">
                  <c:v>119757.15018748365</c:v>
                </c:pt>
                <c:pt idx="8">
                  <c:v>124503.34202586024</c:v>
                </c:pt>
              </c:numCache>
            </c:numRef>
          </c:val>
          <c:extLst>
            <c:ext xmlns:c16="http://schemas.microsoft.com/office/drawing/2014/chart" uri="{C3380CC4-5D6E-409C-BE32-E72D297353CC}">
              <c16:uniqueId val="{00000001-DEAE-4A5A-86B4-ABA693944555}"/>
            </c:ext>
          </c:extLst>
        </c:ser>
        <c:ser>
          <c:idx val="2"/>
          <c:order val="2"/>
          <c:tx>
            <c:v>Nuclear</c:v>
          </c:tx>
          <c:spPr>
            <a:solidFill>
              <a:schemeClr val="accent4"/>
            </a:solidFill>
            <a:ln>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'Energy Efficiency'!$J$7:$J$15</c:f>
              <c:numCache>
                <c:formatCode>#,##0_ ;\-#,##0\ </c:formatCode>
                <c:ptCount val="9"/>
                <c:pt idx="0">
                  <c:v>47713.203102556741</c:v>
                </c:pt>
                <c:pt idx="1">
                  <c:v>38020.232590291969</c:v>
                </c:pt>
                <c:pt idx="2">
                  <c:v>29956.893096857282</c:v>
                </c:pt>
                <c:pt idx="3">
                  <c:v>27354.964581906272</c:v>
                </c:pt>
                <c:pt idx="4">
                  <c:v>21789.315963796096</c:v>
                </c:pt>
                <c:pt idx="5">
                  <c:v>21827.050504719973</c:v>
                </c:pt>
                <c:pt idx="6">
                  <c:v>20643.604839008414</c:v>
                </c:pt>
                <c:pt idx="7">
                  <c:v>19403.456430579972</c:v>
                </c:pt>
                <c:pt idx="8">
                  <c:v>17941.06100312019</c:v>
                </c:pt>
              </c:numCache>
            </c:numRef>
          </c:val>
          <c:extLst>
            <c:ext xmlns:c16="http://schemas.microsoft.com/office/drawing/2014/chart" uri="{C3380CC4-5D6E-409C-BE32-E72D297353CC}">
              <c16:uniqueId val="{00000002-DEAE-4A5A-86B4-ABA693944555}"/>
            </c:ext>
          </c:extLst>
        </c:ser>
        <c:ser>
          <c:idx val="3"/>
          <c:order val="3"/>
          <c:tx>
            <c:v>Fossil fuels (includes natural gas)</c:v>
          </c:tx>
          <c:spPr>
            <a:solidFill>
              <a:schemeClr val="tx1"/>
            </a:solidFill>
            <a:ln w="25400">
              <a:noFill/>
            </a:ln>
            <a:effectLst/>
          </c:spP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'Energy Efficiency'!$K$7:$K$15</c:f>
              <c:numCache>
                <c:formatCode>#,##0_ ;\-#,##0\ </c:formatCode>
                <c:ptCount val="9"/>
                <c:pt idx="0">
                  <c:v>166333.31061111411</c:v>
                </c:pt>
                <c:pt idx="1">
                  <c:v>141873.10127924476</c:v>
                </c:pt>
                <c:pt idx="2">
                  <c:v>101767.82941524753</c:v>
                </c:pt>
                <c:pt idx="3">
                  <c:v>103186.18255611419</c:v>
                </c:pt>
                <c:pt idx="4">
                  <c:v>93190.555192352447</c:v>
                </c:pt>
                <c:pt idx="5">
                  <c:v>83094.95587184465</c:v>
                </c:pt>
                <c:pt idx="6">
                  <c:v>76545.695319969105</c:v>
                </c:pt>
                <c:pt idx="7">
                  <c:v>70136.216485591605</c:v>
                </c:pt>
                <c:pt idx="8">
                  <c:v>61889.703036084087</c:v>
                </c:pt>
              </c:numCache>
            </c:numRef>
          </c:val>
          <c:extLst>
            <c:ext xmlns:c16="http://schemas.microsoft.com/office/drawing/2014/chart" uri="{C3380CC4-5D6E-409C-BE32-E72D297353CC}">
              <c16:uniqueId val="{00000003-DEAE-4A5A-86B4-ABA693944555}"/>
            </c:ext>
          </c:extLst>
        </c:ser>
        <c:dLbls>
          <c:showLegendKey val="0"/>
          <c:showVal val="0"/>
          <c:showCatName val="0"/>
          <c:showSerName val="0"/>
          <c:showPercent val="0"/>
          <c:showBubbleSize val="0"/>
        </c:dLbls>
        <c:axId val="575668864"/>
        <c:axId val="575676408"/>
      </c:areaChart>
      <c:catAx>
        <c:axId val="57566886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5676408"/>
        <c:crosses val="autoZero"/>
        <c:auto val="1"/>
        <c:lblAlgn val="ctr"/>
        <c:lblOffset val="100"/>
        <c:noMultiLvlLbl val="0"/>
      </c:catAx>
      <c:valAx>
        <c:axId val="5756764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566886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100"/>
              <a:t>% fossil fuels penetration in the electricity mix</a:t>
            </a:r>
          </a:p>
        </c:rich>
      </c:tx>
      <c:layout>
        <c:manualLayout>
          <c:xMode val="edge"/>
          <c:yMode val="edge"/>
          <c:x val="0.24558694981175155"/>
          <c:y val="3.698553251777783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v>BAU</c:v>
          </c:tx>
          <c:spPr>
            <a:ln w="28575" cap="rnd">
              <a:solidFill>
                <a:schemeClr val="accent2"/>
              </a:solidFill>
              <a:round/>
            </a:ln>
            <a:effectLst/>
          </c:spPr>
          <c:marker>
            <c:symbol val="none"/>
          </c:marke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BAU!$O$7:$O$15</c:f>
              <c:numCache>
                <c:formatCode>0.00%</c:formatCode>
                <c:ptCount val="9"/>
                <c:pt idx="0">
                  <c:v>0.5575686604845248</c:v>
                </c:pt>
                <c:pt idx="1">
                  <c:v>0.51498650815545366</c:v>
                </c:pt>
                <c:pt idx="2">
                  <c:v>0.42820602898047311</c:v>
                </c:pt>
                <c:pt idx="3">
                  <c:v>0.40470798626717797</c:v>
                </c:pt>
                <c:pt idx="4">
                  <c:v>0.36696492888632049</c:v>
                </c:pt>
                <c:pt idx="5">
                  <c:v>0.35611651393617055</c:v>
                </c:pt>
                <c:pt idx="6">
                  <c:v>0.34287958334763097</c:v>
                </c:pt>
                <c:pt idx="7">
                  <c:v>0.34228370581190998</c:v>
                </c:pt>
                <c:pt idx="8">
                  <c:v>0.3379432465891814</c:v>
                </c:pt>
              </c:numCache>
            </c:numRef>
          </c:val>
          <c:smooth val="0"/>
          <c:extLst>
            <c:ext xmlns:c16="http://schemas.microsoft.com/office/drawing/2014/chart" uri="{C3380CC4-5D6E-409C-BE32-E72D297353CC}">
              <c16:uniqueId val="{00000000-FBDE-4A43-95E4-E39EB84F3878}"/>
            </c:ext>
          </c:extLst>
        </c:ser>
        <c:ser>
          <c:idx val="0"/>
          <c:order val="1"/>
          <c:tx>
            <c:v>IEA NZE</c:v>
          </c:tx>
          <c:spPr>
            <a:ln w="28575" cap="rnd">
              <a:solidFill>
                <a:schemeClr val="accent1"/>
              </a:solidFill>
              <a:round/>
            </a:ln>
            <a:effectLst/>
          </c:spPr>
          <c:marker>
            <c:symbol val="none"/>
          </c:marker>
          <c:val>
            <c:numRef>
              <c:f>'IEA NZE'!$R$7:$R$15</c:f>
              <c:numCache>
                <c:formatCode>0.00%</c:formatCode>
                <c:ptCount val="9"/>
                <c:pt idx="0">
                  <c:v>0.6117708566733886</c:v>
                </c:pt>
                <c:pt idx="1">
                  <c:v>0.6117708566733886</c:v>
                </c:pt>
                <c:pt idx="2">
                  <c:v>0.6117708566733886</c:v>
                </c:pt>
                <c:pt idx="3">
                  <c:v>0.25077714653231858</c:v>
                </c:pt>
                <c:pt idx="4">
                  <c:v>0.25077714653231858</c:v>
                </c:pt>
                <c:pt idx="5">
                  <c:v>1.1175357629126659E-2</c:v>
                </c:pt>
                <c:pt idx="6">
                  <c:v>1.1175357629126659E-2</c:v>
                </c:pt>
                <c:pt idx="7">
                  <c:v>3.6394806362767692E-3</c:v>
                </c:pt>
                <c:pt idx="8">
                  <c:v>3.6394806362767692E-3</c:v>
                </c:pt>
              </c:numCache>
            </c:numRef>
          </c:val>
          <c:smooth val="0"/>
          <c:extLst>
            <c:ext xmlns:c16="http://schemas.microsoft.com/office/drawing/2014/chart" uri="{C3380CC4-5D6E-409C-BE32-E72D297353CC}">
              <c16:uniqueId val="{00000001-FBDE-4A43-95E4-E39EB84F3878}"/>
            </c:ext>
          </c:extLst>
        </c:ser>
        <c:ser>
          <c:idx val="2"/>
          <c:order val="2"/>
          <c:tx>
            <c:v>High RES</c:v>
          </c:tx>
          <c:spPr>
            <a:ln w="28575" cap="rnd">
              <a:solidFill>
                <a:schemeClr val="accent3"/>
              </a:solidFill>
              <a:round/>
            </a:ln>
            <a:effectLst/>
          </c:spPr>
          <c:marker>
            <c:symbol val="none"/>
          </c:marker>
          <c:val>
            <c:numRef>
              <c:f>'High RES'!$R$7:$R$15</c:f>
              <c:numCache>
                <c:formatCode>0.00%</c:formatCode>
                <c:ptCount val="9"/>
                <c:pt idx="0">
                  <c:v>0.55750049002122004</c:v>
                </c:pt>
                <c:pt idx="1">
                  <c:v>0.50753649374732535</c:v>
                </c:pt>
                <c:pt idx="2">
                  <c:v>0.40888742017942015</c:v>
                </c:pt>
                <c:pt idx="3">
                  <c:v>0.36082356342027461</c:v>
                </c:pt>
                <c:pt idx="4">
                  <c:v>0.27493426970832441</c:v>
                </c:pt>
                <c:pt idx="5">
                  <c:v>0.22016204467360953</c:v>
                </c:pt>
                <c:pt idx="6">
                  <c:v>0.16955046539072915</c:v>
                </c:pt>
                <c:pt idx="7">
                  <c:v>0.14079000584190896</c:v>
                </c:pt>
                <c:pt idx="8">
                  <c:v>0.11839868627164686</c:v>
                </c:pt>
              </c:numCache>
            </c:numRef>
          </c:val>
          <c:smooth val="0"/>
          <c:extLst>
            <c:ext xmlns:c16="http://schemas.microsoft.com/office/drawing/2014/chart" uri="{C3380CC4-5D6E-409C-BE32-E72D297353CC}">
              <c16:uniqueId val="{00000002-FBDE-4A43-95E4-E39EB84F3878}"/>
            </c:ext>
          </c:extLst>
        </c:ser>
        <c:ser>
          <c:idx val="3"/>
          <c:order val="3"/>
          <c:tx>
            <c:v>Low Nuclear</c:v>
          </c:tx>
          <c:spPr>
            <a:ln w="28575" cap="rnd">
              <a:solidFill>
                <a:schemeClr val="accent4"/>
              </a:solidFill>
              <a:round/>
            </a:ln>
            <a:effectLst/>
          </c:spPr>
          <c:marker>
            <c:symbol val="none"/>
          </c:marker>
          <c:val>
            <c:numRef>
              <c:f>'Low Nuclear'!$R$7:$R$15</c:f>
              <c:numCache>
                <c:formatCode>0.00%</c:formatCode>
                <c:ptCount val="9"/>
                <c:pt idx="0">
                  <c:v>0.55756070008691438</c:v>
                </c:pt>
                <c:pt idx="1">
                  <c:v>0.50917802198751505</c:v>
                </c:pt>
                <c:pt idx="2">
                  <c:v>0.41124373117407648</c:v>
                </c:pt>
                <c:pt idx="3">
                  <c:v>0.37221765946225988</c:v>
                </c:pt>
                <c:pt idx="4">
                  <c:v>0.31799251128770317</c:v>
                </c:pt>
                <c:pt idx="5">
                  <c:v>0.2997991148185562</c:v>
                </c:pt>
                <c:pt idx="6">
                  <c:v>0.27734798195348564</c:v>
                </c:pt>
                <c:pt idx="7">
                  <c:v>0.26393774284694216</c:v>
                </c:pt>
                <c:pt idx="8">
                  <c:v>0.23128207780194318</c:v>
                </c:pt>
              </c:numCache>
            </c:numRef>
          </c:val>
          <c:smooth val="0"/>
          <c:extLst>
            <c:ext xmlns:c16="http://schemas.microsoft.com/office/drawing/2014/chart" uri="{C3380CC4-5D6E-409C-BE32-E72D297353CC}">
              <c16:uniqueId val="{00000003-FBDE-4A43-95E4-E39EB84F3878}"/>
            </c:ext>
          </c:extLst>
        </c:ser>
        <c:ser>
          <c:idx val="4"/>
          <c:order val="4"/>
          <c:tx>
            <c:v>Energy Efficiency</c:v>
          </c:tx>
          <c:spPr>
            <a:ln w="28575" cap="rnd">
              <a:solidFill>
                <a:schemeClr val="accent5"/>
              </a:solidFill>
              <a:round/>
            </a:ln>
            <a:effectLst/>
          </c:spPr>
          <c:marker>
            <c:symbol val="none"/>
          </c:marker>
          <c:val>
            <c:numRef>
              <c:f>'Energy Efficiency'!$R$7:$R$15</c:f>
              <c:numCache>
                <c:formatCode>0.00%</c:formatCode>
                <c:ptCount val="9"/>
                <c:pt idx="0">
                  <c:v>0.55756674246149807</c:v>
                </c:pt>
                <c:pt idx="1">
                  <c:v>0.50881014991731499</c:v>
                </c:pt>
                <c:pt idx="2">
                  <c:v>0.41294733443330972</c:v>
                </c:pt>
                <c:pt idx="3">
                  <c:v>0.36875599762974648</c:v>
                </c:pt>
                <c:pt idx="4">
                  <c:v>0.31433355918904304</c:v>
                </c:pt>
                <c:pt idx="5">
                  <c:v>0.27016981288243308</c:v>
                </c:pt>
                <c:pt idx="6">
                  <c:v>0.23948174445454004</c:v>
                </c:pt>
                <c:pt idx="7">
                  <c:v>0.21463178674801858</c:v>
                </c:pt>
                <c:pt idx="8">
                  <c:v>0.18484637559122225</c:v>
                </c:pt>
              </c:numCache>
            </c:numRef>
          </c:val>
          <c:smooth val="0"/>
          <c:extLst>
            <c:ext xmlns:c16="http://schemas.microsoft.com/office/drawing/2014/chart" uri="{C3380CC4-5D6E-409C-BE32-E72D297353CC}">
              <c16:uniqueId val="{00000004-FBDE-4A43-95E4-E39EB84F3878}"/>
            </c:ext>
          </c:extLst>
        </c:ser>
        <c:dLbls>
          <c:showLegendKey val="0"/>
          <c:showVal val="0"/>
          <c:showCatName val="0"/>
          <c:showSerName val="0"/>
          <c:showPercent val="0"/>
          <c:showBubbleSize val="0"/>
        </c:dLbls>
        <c:smooth val="0"/>
        <c:axId val="454547728"/>
        <c:axId val="454547072"/>
      </c:lineChart>
      <c:catAx>
        <c:axId val="454547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072"/>
        <c:crosses val="autoZero"/>
        <c:auto val="1"/>
        <c:lblAlgn val="ctr"/>
        <c:lblOffset val="100"/>
        <c:noMultiLvlLbl val="0"/>
      </c:catAx>
      <c:valAx>
        <c:axId val="4545470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electricity</a:t>
                </a:r>
                <a:r>
                  <a:rPr lang="en-US" baseline="0"/>
                  <a:t> generation</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lgn="ctr">
              <a:defRPr lang="en-US" sz="900" b="0" i="0" u="none" strike="noStrike" kern="1200" baseline="0">
                <a:solidFill>
                  <a:schemeClr val="tx1">
                    <a:lumMod val="65000"/>
                    <a:lumOff val="35000"/>
                  </a:schemeClr>
                </a:solidFill>
                <a:latin typeface="+mn-lt"/>
                <a:ea typeface="+mn-ea"/>
                <a:cs typeface="+mn-cs"/>
              </a:defRPr>
            </a:pPr>
            <a:endParaRPr lang="en-US"/>
          </a:p>
        </c:txPr>
        <c:crossAx val="454547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GB" sz="1100"/>
              <a:t>High RES scenario - Composition of investment needs</a:t>
            </a:r>
          </a:p>
        </c:rich>
      </c:tx>
      <c:layout>
        <c:manualLayout>
          <c:xMode val="edge"/>
          <c:yMode val="edge"/>
          <c:x val="0.25889376465262715"/>
          <c:y val="3.7569773122745558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570180594685529"/>
          <c:y val="0.16686243106037194"/>
          <c:w val="0.85070197485322041"/>
          <c:h val="0.64555894795017998"/>
        </c:manualLayout>
      </c:layout>
      <c:barChart>
        <c:barDir val="col"/>
        <c:grouping val="stacked"/>
        <c:varyColors val="0"/>
        <c:ser>
          <c:idx val="0"/>
          <c:order val="0"/>
          <c:tx>
            <c:v>Wind and solar deployment</c:v>
          </c:tx>
          <c:spPr>
            <a:solidFill>
              <a:schemeClr val="accent6">
                <a:lumMod val="75000"/>
              </a:schemeClr>
            </a:solidFill>
            <a:ln>
              <a:noFill/>
            </a:ln>
            <a:effectLst/>
          </c:spPr>
          <c:invertIfNegative val="0"/>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'High RES'!$F$21:$F$29</c:f>
              <c:numCache>
                <c:formatCode>#,##0.00</c:formatCode>
                <c:ptCount val="9"/>
                <c:pt idx="0">
                  <c:v>1.2406292879568419</c:v>
                </c:pt>
                <c:pt idx="1">
                  <c:v>1.7471803476642009</c:v>
                </c:pt>
                <c:pt idx="2">
                  <c:v>2.3651171281922441</c:v>
                </c:pt>
                <c:pt idx="3">
                  <c:v>3.1717847613022232</c:v>
                </c:pt>
                <c:pt idx="4">
                  <c:v>4.3189069911509721</c:v>
                </c:pt>
                <c:pt idx="5">
                  <c:v>4.855519984287322</c:v>
                </c:pt>
                <c:pt idx="6">
                  <c:v>5.3964678495906835</c:v>
                </c:pt>
                <c:pt idx="7">
                  <c:v>5.6459999678616537</c:v>
                </c:pt>
                <c:pt idx="8">
                  <c:v>5.849301076205391</c:v>
                </c:pt>
              </c:numCache>
            </c:numRef>
          </c:val>
          <c:extLst>
            <c:ext xmlns:c16="http://schemas.microsoft.com/office/drawing/2014/chart" uri="{C3380CC4-5D6E-409C-BE32-E72D297353CC}">
              <c16:uniqueId val="{00000000-78D1-48AA-AA07-BFF37EDD4B55}"/>
            </c:ext>
          </c:extLst>
        </c:ser>
        <c:ser>
          <c:idx val="2"/>
          <c:order val="1"/>
          <c:tx>
            <c:v>Energy storage</c:v>
          </c:tx>
          <c:spPr>
            <a:solidFill>
              <a:schemeClr val="accent4"/>
            </a:solidFill>
            <a:ln>
              <a:noFill/>
            </a:ln>
            <a:effectLst/>
          </c:spPr>
          <c:invertIfNegative val="0"/>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'High RES'!$D$21:$D$29</c:f>
              <c:numCache>
                <c:formatCode>#,##0.00</c:formatCode>
                <c:ptCount val="9"/>
                <c:pt idx="0">
                  <c:v>1.0810202628790972</c:v>
                </c:pt>
                <c:pt idx="1">
                  <c:v>1.5608789930293399</c:v>
                </c:pt>
                <c:pt idx="2">
                  <c:v>2.1908639574901549</c:v>
                </c:pt>
                <c:pt idx="3">
                  <c:v>3.0783172557296945</c:v>
                </c:pt>
                <c:pt idx="4">
                  <c:v>4.4676475584902633</c:v>
                </c:pt>
                <c:pt idx="5">
                  <c:v>5.2610243885961028</c:v>
                </c:pt>
                <c:pt idx="6">
                  <c:v>6.0902472160768468</c:v>
                </c:pt>
                <c:pt idx="7">
                  <c:v>6.6422295011345431</c:v>
                </c:pt>
                <c:pt idx="8">
                  <c:v>7.1854231236237647</c:v>
                </c:pt>
              </c:numCache>
            </c:numRef>
          </c:val>
          <c:extLst>
            <c:ext xmlns:c16="http://schemas.microsoft.com/office/drawing/2014/chart" uri="{C3380CC4-5D6E-409C-BE32-E72D297353CC}">
              <c16:uniqueId val="{00000001-78D1-48AA-AA07-BFF37EDD4B55}"/>
            </c:ext>
          </c:extLst>
        </c:ser>
        <c:ser>
          <c:idx val="3"/>
          <c:order val="2"/>
          <c:tx>
            <c:v>Energy interconnections</c:v>
          </c:tx>
          <c:spPr>
            <a:solidFill>
              <a:schemeClr val="tx2"/>
            </a:solidFill>
            <a:ln>
              <a:noFill/>
            </a:ln>
            <a:effectLst/>
          </c:spPr>
          <c:invertIfNegative val="0"/>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'High RES'!$E$21:$E$29</c:f>
              <c:numCache>
                <c:formatCode>#,##0.00</c:formatCode>
                <c:ptCount val="9"/>
                <c:pt idx="0">
                  <c:v>8.6481621030327763E-2</c:v>
                </c:pt>
                <c:pt idx="1">
                  <c:v>0.12487031944234715</c:v>
                </c:pt>
                <c:pt idx="2">
                  <c:v>0.17526911659921238</c:v>
                </c:pt>
                <c:pt idx="3">
                  <c:v>0.24626538045837551</c:v>
                </c:pt>
                <c:pt idx="4">
                  <c:v>0.35741180467922101</c:v>
                </c:pt>
                <c:pt idx="5">
                  <c:v>0.42088195108768817</c:v>
                </c:pt>
                <c:pt idx="6">
                  <c:v>0.48721977728614768</c:v>
                </c:pt>
                <c:pt idx="7">
                  <c:v>0.53137836009076334</c:v>
                </c:pt>
                <c:pt idx="8">
                  <c:v>0.57483384988990116</c:v>
                </c:pt>
              </c:numCache>
            </c:numRef>
          </c:val>
          <c:extLst>
            <c:ext xmlns:c16="http://schemas.microsoft.com/office/drawing/2014/chart" uri="{C3380CC4-5D6E-409C-BE32-E72D297353CC}">
              <c16:uniqueId val="{00000002-78D1-48AA-AA07-BFF37EDD4B55}"/>
            </c:ext>
          </c:extLst>
        </c:ser>
        <c:dLbls>
          <c:showLegendKey val="0"/>
          <c:showVal val="0"/>
          <c:showCatName val="0"/>
          <c:showSerName val="0"/>
          <c:showPercent val="0"/>
          <c:showBubbleSize val="0"/>
        </c:dLbls>
        <c:gapWidth val="150"/>
        <c:overlap val="100"/>
        <c:axId val="454547728"/>
        <c:axId val="454547072"/>
      </c:barChart>
      <c:catAx>
        <c:axId val="454547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072"/>
        <c:crosses val="autoZero"/>
        <c:auto val="1"/>
        <c:lblAlgn val="ctr"/>
        <c:lblOffset val="100"/>
        <c:noMultiLvlLbl val="0"/>
      </c:catAx>
      <c:valAx>
        <c:axId val="4545470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billion EUR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b"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100"/>
              <a:t>Total RES investment in High RES scenario compared to BAU, depending on LCOEs </a:t>
            </a:r>
          </a:p>
        </c:rich>
      </c:tx>
      <c:layout>
        <c:manualLayout>
          <c:xMode val="edge"/>
          <c:yMode val="edge"/>
          <c:x val="0.12664731361549803"/>
          <c:y val="2.957767349024589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'LCOE Sensitivity Analysis'!$AT$8</c:f>
              <c:strCache>
                <c:ptCount val="1"/>
                <c:pt idx="0">
                  <c:v>Baseline - LCOEs from IEA (2021)</c:v>
                </c:pt>
              </c:strCache>
            </c:strRef>
          </c:tx>
          <c:spPr>
            <a:ln w="22225" cap="rnd">
              <a:solidFill>
                <a:schemeClr val="accent1"/>
              </a:solidFill>
              <a:round/>
            </a:ln>
            <a:effectLst/>
          </c:spPr>
          <c:marker>
            <c:symbol val="none"/>
          </c:marke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'LCOE Sensitivity Analysis'!$O$9:$O$17</c:f>
              <c:numCache>
                <c:formatCode>#,##0.00_ ;\-#,##0.00\ </c:formatCode>
                <c:ptCount val="9"/>
                <c:pt idx="0">
                  <c:v>2.1541358652960523</c:v>
                </c:pt>
                <c:pt idx="1">
                  <c:v>3.1067717539289554</c:v>
                </c:pt>
                <c:pt idx="2">
                  <c:v>4.3423292925319705</c:v>
                </c:pt>
                <c:pt idx="3">
                  <c:v>4.3139894632188609</c:v>
                </c:pt>
                <c:pt idx="4">
                  <c:v>6.1490559001245781</c:v>
                </c:pt>
                <c:pt idx="5">
                  <c:v>4.9671834541168254</c:v>
                </c:pt>
                <c:pt idx="6">
                  <c:v>5.7218962939617288</c:v>
                </c:pt>
                <c:pt idx="7">
                  <c:v>6.2125083327639832</c:v>
                </c:pt>
                <c:pt idx="8">
                  <c:v>6.6904746556431229</c:v>
                </c:pt>
              </c:numCache>
            </c:numRef>
          </c:val>
          <c:smooth val="0"/>
          <c:extLst>
            <c:ext xmlns:c16="http://schemas.microsoft.com/office/drawing/2014/chart" uri="{C3380CC4-5D6E-409C-BE32-E72D297353CC}">
              <c16:uniqueId val="{00000000-01CA-4244-8B36-5547439D61CF}"/>
            </c:ext>
          </c:extLst>
        </c:ser>
        <c:ser>
          <c:idx val="2"/>
          <c:order val="1"/>
          <c:tx>
            <c:strRef>
              <c:f>'LCOE Sensitivity Analysis'!$AT$9</c:f>
              <c:strCache>
                <c:ptCount val="1"/>
                <c:pt idx="0">
                  <c:v>LCOEs from Lazard (2021), no storage</c:v>
                </c:pt>
              </c:strCache>
            </c:strRef>
          </c:tx>
          <c:spPr>
            <a:ln w="15875" cap="rnd">
              <a:solidFill>
                <a:schemeClr val="accent3"/>
              </a:solidFill>
              <a:prstDash val="dash"/>
              <a:round/>
            </a:ln>
            <a:effectLst/>
          </c:spPr>
          <c:marker>
            <c:symbol val="none"/>
          </c:marke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'LCOE Sensitivity Analysis'!$O$27:$O$35</c:f>
              <c:numCache>
                <c:formatCode>#,##0.00_ ;\-#,##0.00\ </c:formatCode>
                <c:ptCount val="9"/>
                <c:pt idx="0">
                  <c:v>1.9154219261713781</c:v>
                </c:pt>
                <c:pt idx="1">
                  <c:v>2.5981949850809167</c:v>
                </c:pt>
                <c:pt idx="2">
                  <c:v>3.4001851470006996</c:v>
                </c:pt>
                <c:pt idx="3">
                  <c:v>4.4078794655306854</c:v>
                </c:pt>
                <c:pt idx="4">
                  <c:v>5.8393494079382018</c:v>
                </c:pt>
                <c:pt idx="5">
                  <c:v>6.3552830015521584</c:v>
                </c:pt>
                <c:pt idx="6">
                  <c:v>6.8285238897186495</c:v>
                </c:pt>
                <c:pt idx="7">
                  <c:v>6.9145470044351072</c:v>
                </c:pt>
                <c:pt idx="8">
                  <c:v>6.9417620842643224</c:v>
                </c:pt>
              </c:numCache>
            </c:numRef>
          </c:val>
          <c:smooth val="0"/>
          <c:extLst>
            <c:ext xmlns:c16="http://schemas.microsoft.com/office/drawing/2014/chart" uri="{C3380CC4-5D6E-409C-BE32-E72D297353CC}">
              <c16:uniqueId val="{00000001-01CA-4244-8B36-5547439D61CF}"/>
            </c:ext>
          </c:extLst>
        </c:ser>
        <c:ser>
          <c:idx val="3"/>
          <c:order val="2"/>
          <c:tx>
            <c:strRef>
              <c:f>'LCOE Sensitivity Analysis'!$AT$10</c:f>
              <c:strCache>
                <c:ptCount val="1"/>
                <c:pt idx="0">
                  <c:v>LCOEs from Lazard (2021), with storage</c:v>
                </c:pt>
              </c:strCache>
            </c:strRef>
          </c:tx>
          <c:spPr>
            <a:ln w="15875" cap="rnd">
              <a:solidFill>
                <a:schemeClr val="accent4"/>
              </a:solidFill>
              <a:prstDash val="dash"/>
              <a:round/>
            </a:ln>
            <a:effectLst/>
          </c:spPr>
          <c:marker>
            <c:symbol val="none"/>
          </c:marke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'LCOE Sensitivity Analysis'!$O$45:$O$53</c:f>
              <c:numCache>
                <c:formatCode>#,##0.00_ ;\-#,##0.00\ </c:formatCode>
                <c:ptCount val="9"/>
                <c:pt idx="0">
                  <c:v>3.3137297516591904</c:v>
                </c:pt>
                <c:pt idx="1">
                  <c:v>4.4989168279341607</c:v>
                </c:pt>
                <c:pt idx="2">
                  <c:v>5.9113025735477454</c:v>
                </c:pt>
                <c:pt idx="3">
                  <c:v>7.7123173977248101</c:v>
                </c:pt>
                <c:pt idx="4">
                  <c:v>10.321952690608535</c:v>
                </c:pt>
                <c:pt idx="5">
                  <c:v>11.287192249463416</c:v>
                </c:pt>
                <c:pt idx="6">
                  <c:v>12.161659941302057</c:v>
                </c:pt>
                <c:pt idx="7">
                  <c:v>12.34555973957567</c:v>
                </c:pt>
                <c:pt idx="8">
                  <c:v>12.424827684889802</c:v>
                </c:pt>
              </c:numCache>
            </c:numRef>
          </c:val>
          <c:smooth val="0"/>
          <c:extLst>
            <c:ext xmlns:c16="http://schemas.microsoft.com/office/drawing/2014/chart" uri="{C3380CC4-5D6E-409C-BE32-E72D297353CC}">
              <c16:uniqueId val="{00000002-01CA-4244-8B36-5547439D61CF}"/>
            </c:ext>
          </c:extLst>
        </c:ser>
        <c:ser>
          <c:idx val="4"/>
          <c:order val="3"/>
          <c:tx>
            <c:strRef>
              <c:f>'LCOE Sensitivity Analysis'!$AT$11</c:f>
              <c:strCache>
                <c:ptCount val="1"/>
                <c:pt idx="0">
                  <c:v>LCOEs from Fraunhofer (2021), no storage</c:v>
                </c:pt>
              </c:strCache>
            </c:strRef>
          </c:tx>
          <c:spPr>
            <a:ln w="15875" cap="rnd">
              <a:solidFill>
                <a:schemeClr val="accent5"/>
              </a:solidFill>
              <a:prstDash val="dash"/>
              <a:round/>
            </a:ln>
            <a:effectLst/>
          </c:spPr>
          <c:marker>
            <c:symbol val="none"/>
          </c:marke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'LCOE Sensitivity Analysis'!$O$63:$O$71</c:f>
              <c:numCache>
                <c:formatCode>#,##0.00_ ;\-#,##0.00\ </c:formatCode>
                <c:ptCount val="9"/>
                <c:pt idx="0">
                  <c:v>2.2807525839737424</c:v>
                </c:pt>
                <c:pt idx="1">
                  <c:v>3.2541147035063398</c:v>
                </c:pt>
                <c:pt idx="2">
                  <c:v>4.4803819644379033</c:v>
                </c:pt>
                <c:pt idx="3">
                  <c:v>6.1416367110980703</c:v>
                </c:pt>
                <c:pt idx="4">
                  <c:v>8.6237804794518027</c:v>
                </c:pt>
                <c:pt idx="5">
                  <c:v>9.9535445835350753</c:v>
                </c:pt>
                <c:pt idx="6">
                  <c:v>11.345211402554471</c:v>
                </c:pt>
                <c:pt idx="7">
                  <c:v>12.206574415534494</c:v>
                </c:pt>
                <c:pt idx="8">
                  <c:v>13.031888028181314</c:v>
                </c:pt>
              </c:numCache>
            </c:numRef>
          </c:val>
          <c:smooth val="0"/>
          <c:extLst>
            <c:ext xmlns:c16="http://schemas.microsoft.com/office/drawing/2014/chart" uri="{C3380CC4-5D6E-409C-BE32-E72D297353CC}">
              <c16:uniqueId val="{00000003-01CA-4244-8B36-5547439D61CF}"/>
            </c:ext>
          </c:extLst>
        </c:ser>
        <c:ser>
          <c:idx val="1"/>
          <c:order val="4"/>
          <c:tx>
            <c:strRef>
              <c:f>'LCOE Sensitivity Analysis'!$AT$12</c:f>
              <c:strCache>
                <c:ptCount val="1"/>
                <c:pt idx="0">
                  <c:v>LCOEs from Fraunhofer (2021), with storage</c:v>
                </c:pt>
              </c:strCache>
            </c:strRef>
          </c:tx>
          <c:spPr>
            <a:ln w="15875" cap="rnd">
              <a:solidFill>
                <a:schemeClr val="accent2"/>
              </a:solidFill>
              <a:prstDash val="dash"/>
              <a:round/>
            </a:ln>
            <a:effectLst/>
          </c:spPr>
          <c:marker>
            <c:symbol val="none"/>
          </c:marker>
          <c:val>
            <c:numRef>
              <c:f>'LCOE Sensitivity Analysis'!$O$81:$O$89</c:f>
              <c:numCache>
                <c:formatCode>#,##0.00_ ;\-#,##0.00\ </c:formatCode>
                <c:ptCount val="9"/>
                <c:pt idx="0">
                  <c:v>2.3216495508359394</c:v>
                </c:pt>
                <c:pt idx="1">
                  <c:v>3.308059340693541</c:v>
                </c:pt>
                <c:pt idx="2">
                  <c:v>4.5559810856823981</c:v>
                </c:pt>
                <c:pt idx="3">
                  <c:v>6.2501020170319181</c:v>
                </c:pt>
                <c:pt idx="4">
                  <c:v>8.7865545496412363</c:v>
                </c:pt>
                <c:pt idx="5">
                  <c:v>10.116544372883427</c:v>
                </c:pt>
                <c:pt idx="6">
                  <c:v>11.48671506566753</c:v>
                </c:pt>
                <c:pt idx="7">
                  <c:v>12.288229468996198</c:v>
                </c:pt>
                <c:pt idx="8">
                  <c:v>13.034724199829155</c:v>
                </c:pt>
              </c:numCache>
            </c:numRef>
          </c:val>
          <c:smooth val="0"/>
          <c:extLst>
            <c:ext xmlns:c16="http://schemas.microsoft.com/office/drawing/2014/chart" uri="{C3380CC4-5D6E-409C-BE32-E72D297353CC}">
              <c16:uniqueId val="{00000001-7A92-4BFF-8195-6323C15219E7}"/>
            </c:ext>
          </c:extLst>
        </c:ser>
        <c:ser>
          <c:idx val="5"/>
          <c:order val="5"/>
          <c:tx>
            <c:strRef>
              <c:f>'LCOE Sensitivity Analysis'!$AT$13</c:f>
              <c:strCache>
                <c:ptCount val="1"/>
                <c:pt idx="0">
                  <c:v>LCOEs from IRENA (2022)</c:v>
                </c:pt>
              </c:strCache>
            </c:strRef>
          </c:tx>
          <c:spPr>
            <a:ln w="15875" cap="rnd">
              <a:solidFill>
                <a:schemeClr val="accent6"/>
              </a:solidFill>
              <a:prstDash val="dash"/>
              <a:round/>
            </a:ln>
            <a:effectLst/>
          </c:spPr>
          <c:marker>
            <c:symbol val="none"/>
          </c:marker>
          <c:val>
            <c:numRef>
              <c:f>'LCOE Sensitivity Analysis'!$O$99:$O$107</c:f>
              <c:numCache>
                <c:formatCode>#,##0.00_ ;\-#,##0.00\ </c:formatCode>
                <c:ptCount val="9"/>
                <c:pt idx="0">
                  <c:v>1.9080137557050143</c:v>
                </c:pt>
                <c:pt idx="1">
                  <c:v>2.5966055125950875</c:v>
                </c:pt>
                <c:pt idx="2">
                  <c:v>3.4267602863966102</c:v>
                </c:pt>
                <c:pt idx="3">
                  <c:v>4.4959101589624106</c:v>
                </c:pt>
                <c:pt idx="4">
                  <c:v>6.0598925079249506</c:v>
                </c:pt>
                <c:pt idx="5">
                  <c:v>6.6485791680860267</c:v>
                </c:pt>
                <c:pt idx="6">
                  <c:v>7.1780956528018249</c:v>
                </c:pt>
                <c:pt idx="7">
                  <c:v>7.2986132249538453</c:v>
                </c:pt>
                <c:pt idx="8">
                  <c:v>7.3559367179164328</c:v>
                </c:pt>
              </c:numCache>
            </c:numRef>
          </c:val>
          <c:smooth val="0"/>
          <c:extLst>
            <c:ext xmlns:c16="http://schemas.microsoft.com/office/drawing/2014/chart" uri="{C3380CC4-5D6E-409C-BE32-E72D297353CC}">
              <c16:uniqueId val="{00000002-7A92-4BFF-8195-6323C15219E7}"/>
            </c:ext>
          </c:extLst>
        </c:ser>
        <c:dLbls>
          <c:showLegendKey val="0"/>
          <c:showVal val="0"/>
          <c:showCatName val="0"/>
          <c:showSerName val="0"/>
          <c:showPercent val="0"/>
          <c:showBubbleSize val="0"/>
        </c:dLbls>
        <c:smooth val="0"/>
        <c:axId val="454547728"/>
        <c:axId val="454547072"/>
      </c:lineChart>
      <c:catAx>
        <c:axId val="454547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072"/>
        <c:crosses val="autoZero"/>
        <c:auto val="1"/>
        <c:lblAlgn val="ctr"/>
        <c:lblOffset val="100"/>
        <c:noMultiLvlLbl val="0"/>
      </c:catAx>
      <c:valAx>
        <c:axId val="4545470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billion EUR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_ ;\-#,##0.00\ " sourceLinked="1"/>
        <c:majorTickMark val="none"/>
        <c:minorTickMark val="none"/>
        <c:tickLblPos val="nextTo"/>
        <c:spPr>
          <a:noFill/>
          <a:ln>
            <a:noFill/>
          </a:ln>
          <a:effectLst/>
        </c:spPr>
        <c:txPr>
          <a:bodyPr rot="-60000000" spcFirstLastPara="1" vertOverflow="ellipsis" vert="horz" wrap="square" anchor="b"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100"/>
              <a:t>Temperature Change, EU27</a:t>
            </a:r>
          </a:p>
        </c:rich>
      </c:tx>
      <c:layout>
        <c:manualLayout>
          <c:xMode val="edge"/>
          <c:yMode val="edge"/>
          <c:x val="0.40543986650139807"/>
          <c:y val="3.698566805362921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v>BAU</c:v>
          </c:tx>
          <c:spPr>
            <a:ln w="28575" cap="rnd">
              <a:solidFill>
                <a:schemeClr val="accent2"/>
              </a:solidFill>
              <a:round/>
            </a:ln>
            <a:effectLst/>
          </c:spPr>
          <c:marker>
            <c:symbol val="none"/>
          </c:marke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BAU!$U$7:$U$15</c:f>
              <c:numCache>
                <c:formatCode>#,##0.000_ ;\-#,##0.000\ </c:formatCode>
                <c:ptCount val="9"/>
                <c:pt idx="0">
                  <c:v>0.95399999999999996</c:v>
                </c:pt>
                <c:pt idx="1">
                  <c:v>1.2627587564559435</c:v>
                </c:pt>
                <c:pt idx="2">
                  <c:v>1.5207287536677725</c:v>
                </c:pt>
                <c:pt idx="3">
                  <c:v>1.799231129831989</c:v>
                </c:pt>
                <c:pt idx="4">
                  <c:v>2.0661000358794306</c:v>
                </c:pt>
                <c:pt idx="5">
                  <c:v>2.3413204750252898</c:v>
                </c:pt>
                <c:pt idx="6">
                  <c:v>2.6257521811780595</c:v>
                </c:pt>
                <c:pt idx="7">
                  <c:v>2.9306765540016153</c:v>
                </c:pt>
                <c:pt idx="8">
                  <c:v>3.2536163493267702</c:v>
                </c:pt>
              </c:numCache>
            </c:numRef>
          </c:val>
          <c:smooth val="0"/>
          <c:extLst>
            <c:ext xmlns:c16="http://schemas.microsoft.com/office/drawing/2014/chart" uri="{C3380CC4-5D6E-409C-BE32-E72D297353CC}">
              <c16:uniqueId val="{00000000-86F4-4A1E-B84D-A7039CDD29C3}"/>
            </c:ext>
          </c:extLst>
        </c:ser>
        <c:ser>
          <c:idx val="0"/>
          <c:order val="1"/>
          <c:tx>
            <c:v>IEA NZE</c:v>
          </c:tx>
          <c:spPr>
            <a:ln w="28575" cap="rnd">
              <a:solidFill>
                <a:schemeClr val="accent1"/>
              </a:solidFill>
              <a:round/>
            </a:ln>
            <a:effectLst/>
          </c:spPr>
          <c:marker>
            <c:symbol val="none"/>
          </c:marker>
          <c:val>
            <c:numRef>
              <c:f>'IEA NZE'!$Z$7:$Z$15</c:f>
              <c:numCache>
                <c:formatCode>#,##0.000_ ;\-#,##0.000\ </c:formatCode>
                <c:ptCount val="9"/>
                <c:pt idx="0">
                  <c:v>0.95399999999999996</c:v>
                </c:pt>
                <c:pt idx="1">
                  <c:v>1.3207855486525573</c:v>
                </c:pt>
                <c:pt idx="2">
                  <c:v>1.6893430081681706</c:v>
                </c:pt>
                <c:pt idx="3">
                  <c:v>1.820063632590214</c:v>
                </c:pt>
                <c:pt idx="4">
                  <c:v>1.9751437959073586</c:v>
                </c:pt>
                <c:pt idx="5">
                  <c:v>1.9786886941561208</c:v>
                </c:pt>
                <c:pt idx="6">
                  <c:v>1.982873955645085</c:v>
                </c:pt>
                <c:pt idx="7">
                  <c:v>1.984192348253043</c:v>
                </c:pt>
                <c:pt idx="8">
                  <c:v>1.9856664791800041</c:v>
                </c:pt>
              </c:numCache>
            </c:numRef>
          </c:val>
          <c:smooth val="0"/>
          <c:extLst>
            <c:ext xmlns:c16="http://schemas.microsoft.com/office/drawing/2014/chart" uri="{C3380CC4-5D6E-409C-BE32-E72D297353CC}">
              <c16:uniqueId val="{00000001-86F4-4A1E-B84D-A7039CDD29C3}"/>
            </c:ext>
          </c:extLst>
        </c:ser>
        <c:ser>
          <c:idx val="2"/>
          <c:order val="2"/>
          <c:tx>
            <c:v>High RES</c:v>
          </c:tx>
          <c:spPr>
            <a:ln w="28575" cap="rnd">
              <a:solidFill>
                <a:schemeClr val="accent3"/>
              </a:solidFill>
              <a:round/>
            </a:ln>
            <a:effectLst/>
          </c:spPr>
          <c:marker>
            <c:symbol val="none"/>
          </c:marker>
          <c:val>
            <c:numRef>
              <c:f>'High RES'!$Z$7:$Z$15</c:f>
              <c:numCache>
                <c:formatCode>#,##0.000_ ;\-#,##0.000\ </c:formatCode>
                <c:ptCount val="9"/>
                <c:pt idx="0">
                  <c:v>0.95399999999999996</c:v>
                </c:pt>
                <c:pt idx="1">
                  <c:v>1.2540613130402665</c:v>
                </c:pt>
                <c:pt idx="2">
                  <c:v>1.490041675352435</c:v>
                </c:pt>
                <c:pt idx="3">
                  <c:v>1.7140658514457041</c:v>
                </c:pt>
                <c:pt idx="4">
                  <c:v>1.8687380847970834</c:v>
                </c:pt>
                <c:pt idx="5">
                  <c:v>1.9848867611747496</c:v>
                </c:pt>
                <c:pt idx="6">
                  <c:v>2.0704129943793954</c:v>
                </c:pt>
                <c:pt idx="7">
                  <c:v>2.1386833265365293</c:v>
                </c:pt>
                <c:pt idx="8">
                  <c:v>2.1954075104686543</c:v>
                </c:pt>
              </c:numCache>
            </c:numRef>
          </c:val>
          <c:smooth val="0"/>
          <c:extLst>
            <c:ext xmlns:c16="http://schemas.microsoft.com/office/drawing/2014/chart" uri="{C3380CC4-5D6E-409C-BE32-E72D297353CC}">
              <c16:uniqueId val="{00000002-86F4-4A1E-B84D-A7039CDD29C3}"/>
            </c:ext>
          </c:extLst>
        </c:ser>
        <c:ser>
          <c:idx val="3"/>
          <c:order val="3"/>
          <c:tx>
            <c:v>Low Nuclear</c:v>
          </c:tx>
          <c:spPr>
            <a:ln w="28575" cap="rnd">
              <a:solidFill>
                <a:schemeClr val="accent4"/>
              </a:solidFill>
              <a:round/>
            </a:ln>
            <a:effectLst/>
          </c:spPr>
          <c:marker>
            <c:symbol val="none"/>
          </c:marker>
          <c:val>
            <c:numRef>
              <c:f>'Low Nuclear'!$Z$7:$Z$15</c:f>
              <c:numCache>
                <c:formatCode>#,##0.000_ ;\-#,##0.000\ </c:formatCode>
                <c:ptCount val="9"/>
                <c:pt idx="0">
                  <c:v>0.95399999999999996</c:v>
                </c:pt>
                <c:pt idx="1">
                  <c:v>1.2559030892245198</c:v>
                </c:pt>
                <c:pt idx="2">
                  <c:v>1.4943348987835712</c:v>
                </c:pt>
                <c:pt idx="3">
                  <c:v>1.7303514920928387</c:v>
                </c:pt>
                <c:pt idx="4">
                  <c:v>1.9295299719264927</c:v>
                </c:pt>
                <c:pt idx="5">
                  <c:v>2.1216017948139498</c:v>
                </c:pt>
                <c:pt idx="6">
                  <c:v>2.3066829687191852</c:v>
                </c:pt>
                <c:pt idx="7">
                  <c:v>2.4879324127454274</c:v>
                </c:pt>
                <c:pt idx="8">
                  <c:v>2.646321876014718</c:v>
                </c:pt>
              </c:numCache>
            </c:numRef>
          </c:val>
          <c:smooth val="0"/>
          <c:extLst>
            <c:ext xmlns:c16="http://schemas.microsoft.com/office/drawing/2014/chart" uri="{C3380CC4-5D6E-409C-BE32-E72D297353CC}">
              <c16:uniqueId val="{00000003-86F4-4A1E-B84D-A7039CDD29C3}"/>
            </c:ext>
          </c:extLst>
        </c:ser>
        <c:ser>
          <c:idx val="4"/>
          <c:order val="4"/>
          <c:tx>
            <c:v>Energy Efficiency</c:v>
          </c:tx>
          <c:spPr>
            <a:ln w="28575" cap="rnd">
              <a:solidFill>
                <a:schemeClr val="accent5"/>
              </a:solidFill>
              <a:round/>
            </a:ln>
            <a:effectLst/>
          </c:spPr>
          <c:marker>
            <c:symbol val="none"/>
          </c:marker>
          <c:val>
            <c:numRef>
              <c:f>'Energy Efficiency'!$Z$7:$Z$15</c:f>
              <c:numCache>
                <c:formatCode>#,##0.000_ ;\-#,##0.000\ </c:formatCode>
                <c:ptCount val="9"/>
                <c:pt idx="0">
                  <c:v>0.95399999999999996</c:v>
                </c:pt>
                <c:pt idx="1">
                  <c:v>1.2559372147017984</c:v>
                </c:pt>
                <c:pt idx="2">
                  <c:v>1.4968860541062476</c:v>
                </c:pt>
                <c:pt idx="3">
                  <c:v>1.7326077824849686</c:v>
                </c:pt>
                <c:pt idx="4">
                  <c:v>1.9342316359814451</c:v>
                </c:pt>
                <c:pt idx="5">
                  <c:v>2.1058106414926736</c:v>
                </c:pt>
                <c:pt idx="6">
                  <c:v>2.262376439765331</c:v>
                </c:pt>
                <c:pt idx="7">
                  <c:v>2.403322719991666</c:v>
                </c:pt>
                <c:pt idx="8">
                  <c:v>2.5247123958565272</c:v>
                </c:pt>
              </c:numCache>
            </c:numRef>
          </c:val>
          <c:smooth val="0"/>
          <c:extLst>
            <c:ext xmlns:c16="http://schemas.microsoft.com/office/drawing/2014/chart" uri="{C3380CC4-5D6E-409C-BE32-E72D297353CC}">
              <c16:uniqueId val="{00000004-86F4-4A1E-B84D-A7039CDD29C3}"/>
            </c:ext>
          </c:extLst>
        </c:ser>
        <c:dLbls>
          <c:showLegendKey val="0"/>
          <c:showVal val="0"/>
          <c:showCatName val="0"/>
          <c:showSerName val="0"/>
          <c:showPercent val="0"/>
          <c:showBubbleSize val="0"/>
        </c:dLbls>
        <c:smooth val="0"/>
        <c:axId val="454547728"/>
        <c:axId val="454547072"/>
      </c:lineChart>
      <c:catAx>
        <c:axId val="454547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072"/>
        <c:crosses val="autoZero"/>
        <c:auto val="1"/>
        <c:lblAlgn val="ctr"/>
        <c:lblOffset val="100"/>
        <c:noMultiLvlLbl val="0"/>
      </c:catAx>
      <c:valAx>
        <c:axId val="454547072"/>
        <c:scaling>
          <c:orientation val="minMax"/>
          <c:min val="0.8"/>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Celsius</a:t>
                </a:r>
                <a:r>
                  <a:rPr lang="en-US" baseline="0"/>
                  <a:t> degrees</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_ ;\-#,##0.00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100"/>
              <a:t>Climate output gap, EU27</a:t>
            </a:r>
          </a:p>
        </c:rich>
      </c:tx>
      <c:layout>
        <c:manualLayout>
          <c:xMode val="edge"/>
          <c:yMode val="edge"/>
          <c:x val="0.4088578947592002"/>
          <c:y val="4.631305408314681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v>BAU</c:v>
          </c:tx>
          <c:spPr>
            <a:ln w="28575" cap="rnd">
              <a:solidFill>
                <a:schemeClr val="accent2"/>
              </a:solidFill>
              <a:round/>
            </a:ln>
            <a:effectLst/>
          </c:spPr>
          <c:marker>
            <c:symbol val="none"/>
          </c:marke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BAU!$AG$7:$AG$15</c:f>
              <c:numCache>
                <c:formatCode>#,##0.00_ ;\-#,##0.00\ </c:formatCode>
                <c:ptCount val="9"/>
                <c:pt idx="0">
                  <c:v>-1.5288382461562486</c:v>
                </c:pt>
                <c:pt idx="1">
                  <c:v>-7.4061125331870619</c:v>
                </c:pt>
                <c:pt idx="2">
                  <c:v>-12.303322956110607</c:v>
                </c:pt>
                <c:pt idx="3">
                  <c:v>-19.323646987972893</c:v>
                </c:pt>
                <c:pt idx="4">
                  <c:v>-28.59155804914279</c:v>
                </c:pt>
                <c:pt idx="5">
                  <c:v>-40.90955674930462</c:v>
                </c:pt>
                <c:pt idx="6">
                  <c:v>-57.002136749593689</c:v>
                </c:pt>
                <c:pt idx="7">
                  <c:v>-78.035211702479444</c:v>
                </c:pt>
                <c:pt idx="8">
                  <c:v>-105.0706820697292</c:v>
                </c:pt>
              </c:numCache>
            </c:numRef>
          </c:val>
          <c:smooth val="0"/>
          <c:extLst>
            <c:ext xmlns:c16="http://schemas.microsoft.com/office/drawing/2014/chart" uri="{C3380CC4-5D6E-409C-BE32-E72D297353CC}">
              <c16:uniqueId val="{00000000-AA25-4279-A9E6-A847FAA0FB37}"/>
            </c:ext>
          </c:extLst>
        </c:ser>
        <c:ser>
          <c:idx val="0"/>
          <c:order val="1"/>
          <c:tx>
            <c:v>IEA NZE</c:v>
          </c:tx>
          <c:spPr>
            <a:ln w="28575" cap="rnd">
              <a:solidFill>
                <a:schemeClr val="accent1"/>
              </a:solidFill>
              <a:round/>
            </a:ln>
            <a:effectLst/>
          </c:spPr>
          <c:marker>
            <c:symbol val="none"/>
          </c:marker>
          <c:val>
            <c:numRef>
              <c:f>'IEA NZE'!$AI$7:$AI$15</c:f>
              <c:numCache>
                <c:formatCode>#,##0.00_ ;\-#,##0.00\ </c:formatCode>
                <c:ptCount val="9"/>
                <c:pt idx="0">
                  <c:v>-1.5288382461562486</c:v>
                </c:pt>
                <c:pt idx="1">
                  <c:v>-4.397588146613602</c:v>
                </c:pt>
                <c:pt idx="2">
                  <c:v>-9.0353919617328682</c:v>
                </c:pt>
                <c:pt idx="3">
                  <c:v>-14.847824987340516</c:v>
                </c:pt>
                <c:pt idx="4">
                  <c:v>-20.113383954936573</c:v>
                </c:pt>
                <c:pt idx="5">
                  <c:v>-35.363614970616702</c:v>
                </c:pt>
                <c:pt idx="6">
                  <c:v>-40.875450551034376</c:v>
                </c:pt>
                <c:pt idx="7">
                  <c:v>-51.194758449945866</c:v>
                </c:pt>
                <c:pt idx="8">
                  <c:v>-60.020496526028559</c:v>
                </c:pt>
              </c:numCache>
            </c:numRef>
          </c:val>
          <c:smooth val="0"/>
          <c:extLst>
            <c:ext xmlns:c16="http://schemas.microsoft.com/office/drawing/2014/chart" uri="{C3380CC4-5D6E-409C-BE32-E72D297353CC}">
              <c16:uniqueId val="{00000001-AA25-4279-A9E6-A847FAA0FB37}"/>
            </c:ext>
          </c:extLst>
        </c:ser>
        <c:ser>
          <c:idx val="2"/>
          <c:order val="2"/>
          <c:tx>
            <c:v>High RES</c:v>
          </c:tx>
          <c:spPr>
            <a:ln w="28575" cap="rnd">
              <a:solidFill>
                <a:schemeClr val="accent3"/>
              </a:solidFill>
              <a:round/>
            </a:ln>
            <a:effectLst/>
          </c:spPr>
          <c:marker>
            <c:symbol val="none"/>
          </c:marker>
          <c:val>
            <c:numRef>
              <c:f>'High RES'!$AI$7:$AI$15</c:f>
              <c:numCache>
                <c:formatCode>#,##0.00_ ;\-#,##0.00\ </c:formatCode>
                <c:ptCount val="9"/>
                <c:pt idx="0">
                  <c:v>-1.5288382462567447</c:v>
                </c:pt>
                <c:pt idx="1">
                  <c:v>-4.0520238796964732</c:v>
                </c:pt>
                <c:pt idx="2">
                  <c:v>-7.530409430558878</c:v>
                </c:pt>
                <c:pt idx="3">
                  <c:v>-12.472219098331047</c:v>
                </c:pt>
                <c:pt idx="4">
                  <c:v>-19.050451992019909</c:v>
                </c:pt>
                <c:pt idx="5">
                  <c:v>-27.067277499959857</c:v>
                </c:pt>
                <c:pt idx="6">
                  <c:v>-36.623592638087182</c:v>
                </c:pt>
                <c:pt idx="7">
                  <c:v>-47.932574836934116</c:v>
                </c:pt>
                <c:pt idx="8">
                  <c:v>-60.649472253617944</c:v>
                </c:pt>
              </c:numCache>
            </c:numRef>
          </c:val>
          <c:smooth val="0"/>
          <c:extLst>
            <c:ext xmlns:c16="http://schemas.microsoft.com/office/drawing/2014/chart" uri="{C3380CC4-5D6E-409C-BE32-E72D297353CC}">
              <c16:uniqueId val="{00000002-AA25-4279-A9E6-A847FAA0FB37}"/>
            </c:ext>
          </c:extLst>
        </c:ser>
        <c:ser>
          <c:idx val="3"/>
          <c:order val="3"/>
          <c:tx>
            <c:v>Low Nuclear</c:v>
          </c:tx>
          <c:spPr>
            <a:ln w="28575" cap="rnd">
              <a:solidFill>
                <a:schemeClr val="accent4"/>
              </a:solidFill>
              <a:round/>
            </a:ln>
            <a:effectLst/>
          </c:spPr>
          <c:marker>
            <c:symbol val="none"/>
          </c:marker>
          <c:val>
            <c:numRef>
              <c:f>'Low Nuclear'!$AI$7:$AI$15</c:f>
              <c:numCache>
                <c:formatCode>#,##0.00_ ;\-#,##0.00\ </c:formatCode>
                <c:ptCount val="9"/>
                <c:pt idx="0">
                  <c:v>-1.5288382461564138</c:v>
                </c:pt>
                <c:pt idx="1">
                  <c:v>-4.0546652044534612</c:v>
                </c:pt>
                <c:pt idx="2">
                  <c:v>-7.5495374357812972</c:v>
                </c:pt>
                <c:pt idx="3">
                  <c:v>-12.547682515733573</c:v>
                </c:pt>
                <c:pt idx="4">
                  <c:v>-19.072541193072961</c:v>
                </c:pt>
                <c:pt idx="5">
                  <c:v>-27.360214476351747</c:v>
                </c:pt>
                <c:pt idx="6">
                  <c:v>-37.789341418835853</c:v>
                </c:pt>
                <c:pt idx="7">
                  <c:v>-50.949109937883797</c:v>
                </c:pt>
                <c:pt idx="8">
                  <c:v>-67.045870382853352</c:v>
                </c:pt>
              </c:numCache>
            </c:numRef>
          </c:val>
          <c:smooth val="0"/>
          <c:extLst>
            <c:ext xmlns:c16="http://schemas.microsoft.com/office/drawing/2014/chart" uri="{C3380CC4-5D6E-409C-BE32-E72D297353CC}">
              <c16:uniqueId val="{00000003-AA25-4279-A9E6-A847FAA0FB37}"/>
            </c:ext>
          </c:extLst>
        </c:ser>
        <c:ser>
          <c:idx val="4"/>
          <c:order val="4"/>
          <c:tx>
            <c:v>Energy Efficiency</c:v>
          </c:tx>
          <c:spPr>
            <a:ln w="28575" cap="rnd">
              <a:solidFill>
                <a:schemeClr val="accent5"/>
              </a:solidFill>
              <a:round/>
            </a:ln>
            <a:effectLst/>
          </c:spPr>
          <c:marker>
            <c:symbol val="none"/>
          </c:marker>
          <c:val>
            <c:numRef>
              <c:f>'Energy Efficiency'!$AI$7:$AI$15</c:f>
              <c:numCache>
                <c:formatCode>#,##0.00_ ;\-#,##0.00\ </c:formatCode>
                <c:ptCount val="9"/>
                <c:pt idx="0">
                  <c:v>-1.5288382461562486</c:v>
                </c:pt>
                <c:pt idx="1">
                  <c:v>-4.0526319073216746</c:v>
                </c:pt>
                <c:pt idx="2">
                  <c:v>-7.5485492643452581</c:v>
                </c:pt>
                <c:pt idx="3">
                  <c:v>-12.539526334266268</c:v>
                </c:pt>
                <c:pt idx="4">
                  <c:v>-19.003653902788539</c:v>
                </c:pt>
                <c:pt idx="5">
                  <c:v>-27.197604221099432</c:v>
                </c:pt>
                <c:pt idx="6">
                  <c:v>-37.150081284342022</c:v>
                </c:pt>
                <c:pt idx="7">
                  <c:v>-49.506120316997865</c:v>
                </c:pt>
                <c:pt idx="8">
                  <c:v>-64.236495156463292</c:v>
                </c:pt>
              </c:numCache>
            </c:numRef>
          </c:val>
          <c:smooth val="0"/>
          <c:extLst>
            <c:ext xmlns:c16="http://schemas.microsoft.com/office/drawing/2014/chart" uri="{C3380CC4-5D6E-409C-BE32-E72D297353CC}">
              <c16:uniqueId val="{00000004-AA25-4279-A9E6-A847FAA0FB37}"/>
            </c:ext>
          </c:extLst>
        </c:ser>
        <c:dLbls>
          <c:showLegendKey val="0"/>
          <c:showVal val="0"/>
          <c:showCatName val="0"/>
          <c:showSerName val="0"/>
          <c:showPercent val="0"/>
          <c:showBubbleSize val="0"/>
        </c:dLbls>
        <c:smooth val="0"/>
        <c:axId val="454547728"/>
        <c:axId val="454547072"/>
      </c:lineChart>
      <c:catAx>
        <c:axId val="454547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072"/>
        <c:crosses val="autoZero"/>
        <c:auto val="1"/>
        <c:lblAlgn val="ctr"/>
        <c:lblOffset val="100"/>
        <c:noMultiLvlLbl val="0"/>
      </c:catAx>
      <c:valAx>
        <c:axId val="4545470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billion EUR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_ ;\-#,##0.0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100"/>
              <a:t>Steady-state</a:t>
            </a:r>
            <a:r>
              <a:rPr lang="en-GB" sz="1100" baseline="0"/>
              <a:t> income per capita</a:t>
            </a:r>
            <a:endParaRPr lang="en-GB" sz="1100"/>
          </a:p>
        </c:rich>
      </c:tx>
      <c:layout>
        <c:manualLayout>
          <c:xMode val="edge"/>
          <c:yMode val="edge"/>
          <c:x val="0.40543986650139807"/>
          <c:y val="3.698566805362921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v>BAU</c:v>
          </c:tx>
          <c:spPr>
            <a:ln w="28575" cap="rnd">
              <a:solidFill>
                <a:schemeClr val="accent2"/>
              </a:solidFill>
              <a:round/>
            </a:ln>
            <a:effectLst/>
          </c:spPr>
          <c:marker>
            <c:symbol val="none"/>
          </c:marke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BAU!$X$7:$X$15</c:f>
              <c:numCache>
                <c:formatCode>0.000</c:formatCode>
                <c:ptCount val="9"/>
                <c:pt idx="0">
                  <c:v>9.0695297827395613</c:v>
                </c:pt>
                <c:pt idx="1">
                  <c:v>10.203088711386295</c:v>
                </c:pt>
                <c:pt idx="2">
                  <c:v>11.491153414324023</c:v>
                </c:pt>
                <c:pt idx="3">
                  <c:v>12.876888443619778</c:v>
                </c:pt>
                <c:pt idx="4">
                  <c:v>14.367279564089992</c:v>
                </c:pt>
                <c:pt idx="5">
                  <c:v>15.95578479837574</c:v>
                </c:pt>
                <c:pt idx="6">
                  <c:v>17.637886785436528</c:v>
                </c:pt>
                <c:pt idx="7">
                  <c:v>19.400980480842421</c:v>
                </c:pt>
                <c:pt idx="8">
                  <c:v>21.23498789549086</c:v>
                </c:pt>
              </c:numCache>
            </c:numRef>
          </c:val>
          <c:smooth val="0"/>
          <c:extLst>
            <c:ext xmlns:c16="http://schemas.microsoft.com/office/drawing/2014/chart" uri="{C3380CC4-5D6E-409C-BE32-E72D297353CC}">
              <c16:uniqueId val="{00000000-3E58-4E83-9EDE-DB1EEA943CB9}"/>
            </c:ext>
          </c:extLst>
        </c:ser>
        <c:ser>
          <c:idx val="0"/>
          <c:order val="1"/>
          <c:tx>
            <c:v>IEA NZE</c:v>
          </c:tx>
          <c:spPr>
            <a:ln w="28575" cap="rnd">
              <a:solidFill>
                <a:schemeClr val="accent1"/>
              </a:solidFill>
              <a:round/>
            </a:ln>
            <a:effectLst/>
          </c:spPr>
          <c:marker>
            <c:symbol val="none"/>
          </c:marker>
          <c:val>
            <c:numRef>
              <c:f>'IEA NZE'!$AC$7:$AC$15</c:f>
              <c:numCache>
                <c:formatCode>0.000</c:formatCode>
                <c:ptCount val="9"/>
                <c:pt idx="0">
                  <c:v>9.0695297827395613</c:v>
                </c:pt>
                <c:pt idx="1">
                  <c:v>10.26642211558957</c:v>
                </c:pt>
                <c:pt idx="2">
                  <c:v>11.558547065636253</c:v>
                </c:pt>
                <c:pt idx="3">
                  <c:v>12.967403953693998</c:v>
                </c:pt>
                <c:pt idx="4">
                  <c:v>14.535575133274101</c:v>
                </c:pt>
                <c:pt idx="5">
                  <c:v>16.063943554869756</c:v>
                </c:pt>
                <c:pt idx="6">
                  <c:v>17.947147091568603</c:v>
                </c:pt>
                <c:pt idx="7">
                  <c:v>19.90752763908629</c:v>
                </c:pt>
                <c:pt idx="8">
                  <c:v>22.072360022880481</c:v>
                </c:pt>
              </c:numCache>
            </c:numRef>
          </c:val>
          <c:smooth val="0"/>
          <c:extLst>
            <c:ext xmlns:c16="http://schemas.microsoft.com/office/drawing/2014/chart" uri="{C3380CC4-5D6E-409C-BE32-E72D297353CC}">
              <c16:uniqueId val="{00000001-3E58-4E83-9EDE-DB1EEA943CB9}"/>
            </c:ext>
          </c:extLst>
        </c:ser>
        <c:ser>
          <c:idx val="2"/>
          <c:order val="2"/>
          <c:tx>
            <c:v>High RES</c:v>
          </c:tx>
          <c:spPr>
            <a:ln w="28575" cap="rnd">
              <a:solidFill>
                <a:schemeClr val="accent3"/>
              </a:solidFill>
              <a:round/>
            </a:ln>
            <a:effectLst/>
          </c:spPr>
          <c:marker>
            <c:symbol val="none"/>
          </c:marker>
          <c:val>
            <c:numRef>
              <c:f>'High RES'!$AC$7:$AC$15</c:f>
              <c:numCache>
                <c:formatCode>0.000</c:formatCode>
                <c:ptCount val="9"/>
                <c:pt idx="0">
                  <c:v>9.0695297827373995</c:v>
                </c:pt>
                <c:pt idx="1">
                  <c:v>10.27369669893433</c:v>
                </c:pt>
                <c:pt idx="2">
                  <c:v>11.589583910695538</c:v>
                </c:pt>
                <c:pt idx="3">
                  <c:v>13.015446342052746</c:v>
                </c:pt>
                <c:pt idx="4">
                  <c:v>14.556674810836194</c:v>
                </c:pt>
                <c:pt idx="5">
                  <c:v>16.225741420784829</c:v>
                </c:pt>
                <c:pt idx="6">
                  <c:v>18.028684666219593</c:v>
                </c:pt>
                <c:pt idx="7">
                  <c:v>19.969093284915495</c:v>
                </c:pt>
                <c:pt idx="8">
                  <c:v>22.060668911362704</c:v>
                </c:pt>
              </c:numCache>
            </c:numRef>
          </c:val>
          <c:smooth val="0"/>
          <c:extLst>
            <c:ext xmlns:c16="http://schemas.microsoft.com/office/drawing/2014/chart" uri="{C3380CC4-5D6E-409C-BE32-E72D297353CC}">
              <c16:uniqueId val="{00000002-3E58-4E83-9EDE-DB1EEA943CB9}"/>
            </c:ext>
          </c:extLst>
        </c:ser>
        <c:ser>
          <c:idx val="3"/>
          <c:order val="3"/>
          <c:tx>
            <c:v>Low Nuclear</c:v>
          </c:tx>
          <c:spPr>
            <a:ln w="28575" cap="rnd">
              <a:solidFill>
                <a:schemeClr val="accent4"/>
              </a:solidFill>
              <a:round/>
            </a:ln>
            <a:effectLst/>
          </c:spPr>
          <c:marker>
            <c:symbol val="none"/>
          </c:marker>
          <c:val>
            <c:numRef>
              <c:f>'Low Nuclear'!$AC$7:$AC$15</c:f>
              <c:numCache>
                <c:formatCode>0.000</c:formatCode>
                <c:ptCount val="9"/>
                <c:pt idx="0">
                  <c:v>9.0695297827395578</c:v>
                </c:pt>
                <c:pt idx="1">
                  <c:v>10.273641095566376</c:v>
                </c:pt>
                <c:pt idx="2">
                  <c:v>11.589189439050795</c:v>
                </c:pt>
                <c:pt idx="3">
                  <c:v>13.013920229147191</c:v>
                </c:pt>
                <c:pt idx="4">
                  <c:v>14.556236330259747</c:v>
                </c:pt>
                <c:pt idx="5">
                  <c:v>16.220028468799033</c:v>
                </c:pt>
                <c:pt idx="6">
                  <c:v>18.006329185349653</c:v>
                </c:pt>
                <c:pt idx="7">
                  <c:v>19.912163647075467</c:v>
                </c:pt>
                <c:pt idx="8">
                  <c:v>21.941775605054051</c:v>
                </c:pt>
              </c:numCache>
            </c:numRef>
          </c:val>
          <c:smooth val="0"/>
          <c:extLst>
            <c:ext xmlns:c16="http://schemas.microsoft.com/office/drawing/2014/chart" uri="{C3380CC4-5D6E-409C-BE32-E72D297353CC}">
              <c16:uniqueId val="{00000003-3E58-4E83-9EDE-DB1EEA943CB9}"/>
            </c:ext>
          </c:extLst>
        </c:ser>
        <c:ser>
          <c:idx val="4"/>
          <c:order val="4"/>
          <c:tx>
            <c:v>Energy Efficiency</c:v>
          </c:tx>
          <c:spPr>
            <a:ln w="28575" cap="rnd">
              <a:solidFill>
                <a:schemeClr val="accent5"/>
              </a:solidFill>
              <a:round/>
            </a:ln>
            <a:effectLst/>
          </c:spPr>
          <c:marker>
            <c:symbol val="none"/>
          </c:marker>
          <c:val>
            <c:numRef>
              <c:f>'Energy Efficiency'!$AC$7:$AC$15</c:f>
              <c:numCache>
                <c:formatCode>0.000</c:formatCode>
                <c:ptCount val="9"/>
                <c:pt idx="0">
                  <c:v>9.0695297827395613</c:v>
                </c:pt>
                <c:pt idx="1">
                  <c:v>10.273683899151312</c:v>
                </c:pt>
                <c:pt idx="2">
                  <c:v>11.589209817841324</c:v>
                </c:pt>
                <c:pt idx="3">
                  <c:v>13.014085173357588</c:v>
                </c:pt>
                <c:pt idx="4">
                  <c:v>14.557603773956838</c:v>
                </c:pt>
                <c:pt idx="5">
                  <c:v>16.223199746771847</c:v>
                </c:pt>
                <c:pt idx="6">
                  <c:v>18.018588231160891</c:v>
                </c:pt>
                <c:pt idx="7">
                  <c:v>19.939396506556562</c:v>
                </c:pt>
                <c:pt idx="8">
                  <c:v>21.993994979548656</c:v>
                </c:pt>
              </c:numCache>
            </c:numRef>
          </c:val>
          <c:smooth val="0"/>
          <c:extLst>
            <c:ext xmlns:c16="http://schemas.microsoft.com/office/drawing/2014/chart" uri="{C3380CC4-5D6E-409C-BE32-E72D297353CC}">
              <c16:uniqueId val="{00000004-3E58-4E83-9EDE-DB1EEA943CB9}"/>
            </c:ext>
          </c:extLst>
        </c:ser>
        <c:dLbls>
          <c:showLegendKey val="0"/>
          <c:showVal val="0"/>
          <c:showCatName val="0"/>
          <c:showSerName val="0"/>
          <c:showPercent val="0"/>
          <c:showBubbleSize val="0"/>
        </c:dLbls>
        <c:smooth val="0"/>
        <c:axId val="454547728"/>
        <c:axId val="454547072"/>
      </c:lineChart>
      <c:catAx>
        <c:axId val="454547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072"/>
        <c:crosses val="autoZero"/>
        <c:auto val="1"/>
        <c:lblAlgn val="ctr"/>
        <c:lblOffset val="100"/>
        <c:noMultiLvlLbl val="0"/>
      </c:catAx>
      <c:valAx>
        <c:axId val="454547072"/>
        <c:scaling>
          <c:orientation val="minMax"/>
          <c:min val="8"/>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100"/>
              <a:t>Steady-state consumption</a:t>
            </a:r>
            <a:r>
              <a:rPr lang="en-GB" sz="1100" baseline="0"/>
              <a:t> per capita</a:t>
            </a:r>
            <a:endParaRPr lang="en-GB" sz="1100"/>
          </a:p>
        </c:rich>
      </c:tx>
      <c:layout>
        <c:manualLayout>
          <c:xMode val="edge"/>
          <c:yMode val="edge"/>
          <c:x val="0.35287567311503809"/>
          <c:y val="3.69857905692822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v>BAU</c:v>
          </c:tx>
          <c:spPr>
            <a:ln w="28575" cap="rnd">
              <a:solidFill>
                <a:schemeClr val="accent2"/>
              </a:solidFill>
              <a:round/>
            </a:ln>
            <a:effectLst/>
          </c:spPr>
          <c:marker>
            <c:symbol val="none"/>
          </c:marke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BAU!$Y$7:$Y$15</c:f>
              <c:numCache>
                <c:formatCode>#,##0.000_ ;\-#,##0.000\ </c:formatCode>
                <c:ptCount val="9"/>
                <c:pt idx="0">
                  <c:v>7.9811862088108141</c:v>
                </c:pt>
                <c:pt idx="1">
                  <c:v>8.9787180660199404</c:v>
                </c:pt>
                <c:pt idx="2">
                  <c:v>10.11221500460514</c:v>
                </c:pt>
                <c:pt idx="3">
                  <c:v>11.331661830385405</c:v>
                </c:pt>
                <c:pt idx="4">
                  <c:v>12.643206016399194</c:v>
                </c:pt>
                <c:pt idx="5">
                  <c:v>14.041090622570652</c:v>
                </c:pt>
                <c:pt idx="6">
                  <c:v>15.521340371184145</c:v>
                </c:pt>
                <c:pt idx="7">
                  <c:v>17.072862823141332</c:v>
                </c:pt>
                <c:pt idx="8">
                  <c:v>18.686789348031958</c:v>
                </c:pt>
              </c:numCache>
            </c:numRef>
          </c:val>
          <c:smooth val="0"/>
          <c:extLst>
            <c:ext xmlns:c16="http://schemas.microsoft.com/office/drawing/2014/chart" uri="{C3380CC4-5D6E-409C-BE32-E72D297353CC}">
              <c16:uniqueId val="{00000000-6D30-43A1-A775-F66ADA65B78A}"/>
            </c:ext>
          </c:extLst>
        </c:ser>
        <c:ser>
          <c:idx val="0"/>
          <c:order val="1"/>
          <c:tx>
            <c:v>IEA NZE</c:v>
          </c:tx>
          <c:spPr>
            <a:ln w="28575" cap="rnd">
              <a:solidFill>
                <a:schemeClr val="accent1"/>
              </a:solidFill>
              <a:round/>
            </a:ln>
            <a:effectLst/>
          </c:spPr>
          <c:marker>
            <c:symbol val="none"/>
          </c:marker>
          <c:val>
            <c:numRef>
              <c:f>'IEA NZE'!$AD$7:$AD$15</c:f>
              <c:numCache>
                <c:formatCode>#,##0.000_ ;\-#,##0.000\ </c:formatCode>
                <c:ptCount val="9"/>
                <c:pt idx="0">
                  <c:v>7.9811862088108141</c:v>
                </c:pt>
                <c:pt idx="1">
                  <c:v>9.0344514617188221</c:v>
                </c:pt>
                <c:pt idx="2">
                  <c:v>10.171521417759903</c:v>
                </c:pt>
                <c:pt idx="3">
                  <c:v>11.411315479250717</c:v>
                </c:pt>
                <c:pt idx="4">
                  <c:v>12.791306117281209</c:v>
                </c:pt>
                <c:pt idx="5">
                  <c:v>14.136270328285384</c:v>
                </c:pt>
                <c:pt idx="6">
                  <c:v>15.79348944058037</c:v>
                </c:pt>
                <c:pt idx="7">
                  <c:v>17.518624322395937</c:v>
                </c:pt>
                <c:pt idx="8">
                  <c:v>19.423676820134823</c:v>
                </c:pt>
              </c:numCache>
            </c:numRef>
          </c:val>
          <c:smooth val="0"/>
          <c:extLst>
            <c:ext xmlns:c16="http://schemas.microsoft.com/office/drawing/2014/chart" uri="{C3380CC4-5D6E-409C-BE32-E72D297353CC}">
              <c16:uniqueId val="{00000001-6D30-43A1-A775-F66ADA65B78A}"/>
            </c:ext>
          </c:extLst>
        </c:ser>
        <c:ser>
          <c:idx val="2"/>
          <c:order val="2"/>
          <c:tx>
            <c:v>High RES</c:v>
          </c:tx>
          <c:spPr>
            <a:ln w="28575" cap="rnd">
              <a:solidFill>
                <a:schemeClr val="accent3"/>
              </a:solidFill>
              <a:round/>
            </a:ln>
            <a:effectLst/>
          </c:spPr>
          <c:marker>
            <c:symbol val="none"/>
          </c:marker>
          <c:val>
            <c:numRef>
              <c:f>'High RES'!$AD$7:$AD$15</c:f>
              <c:numCache>
                <c:formatCode>#,##0.000_ ;\-#,##0.000\ </c:formatCode>
                <c:ptCount val="9"/>
                <c:pt idx="0">
                  <c:v>7.9811862088089116</c:v>
                </c:pt>
                <c:pt idx="1">
                  <c:v>9.0408530950622108</c:v>
                </c:pt>
                <c:pt idx="2">
                  <c:v>10.198833841412073</c:v>
                </c:pt>
                <c:pt idx="3">
                  <c:v>11.453592781006417</c:v>
                </c:pt>
                <c:pt idx="4">
                  <c:v>12.809873833535852</c:v>
                </c:pt>
                <c:pt idx="5">
                  <c:v>14.278652450290648</c:v>
                </c:pt>
                <c:pt idx="6">
                  <c:v>15.865242506273242</c:v>
                </c:pt>
                <c:pt idx="7">
                  <c:v>17.572802090725634</c:v>
                </c:pt>
                <c:pt idx="8">
                  <c:v>19.41338864199918</c:v>
                </c:pt>
              </c:numCache>
            </c:numRef>
          </c:val>
          <c:smooth val="0"/>
          <c:extLst>
            <c:ext xmlns:c16="http://schemas.microsoft.com/office/drawing/2014/chart" uri="{C3380CC4-5D6E-409C-BE32-E72D297353CC}">
              <c16:uniqueId val="{00000002-6D30-43A1-A775-F66ADA65B78A}"/>
            </c:ext>
          </c:extLst>
        </c:ser>
        <c:ser>
          <c:idx val="3"/>
          <c:order val="3"/>
          <c:tx>
            <c:v>Low Nuclear</c:v>
          </c:tx>
          <c:spPr>
            <a:ln w="28575" cap="rnd">
              <a:solidFill>
                <a:schemeClr val="accent4"/>
              </a:solidFill>
              <a:round/>
            </a:ln>
            <a:effectLst/>
          </c:spPr>
          <c:marker>
            <c:symbol val="none"/>
          </c:marker>
          <c:val>
            <c:numRef>
              <c:f>'Low Nuclear'!$AD$7:$AD$15</c:f>
              <c:numCache>
                <c:formatCode>#,##0.000_ ;\-#,##0.000\ </c:formatCode>
                <c:ptCount val="9"/>
                <c:pt idx="0">
                  <c:v>7.9811862088108105</c:v>
                </c:pt>
                <c:pt idx="1">
                  <c:v>9.0408041640984109</c:v>
                </c:pt>
                <c:pt idx="2">
                  <c:v>10.198486706364699</c:v>
                </c:pt>
                <c:pt idx="3">
                  <c:v>11.452249801649527</c:v>
                </c:pt>
                <c:pt idx="4">
                  <c:v>12.809487970628577</c:v>
                </c:pt>
                <c:pt idx="5">
                  <c:v>14.273625052543149</c:v>
                </c:pt>
                <c:pt idx="6">
                  <c:v>15.845569683107694</c:v>
                </c:pt>
                <c:pt idx="7">
                  <c:v>17.522704009426409</c:v>
                </c:pt>
                <c:pt idx="8">
                  <c:v>19.308762532447567</c:v>
                </c:pt>
              </c:numCache>
            </c:numRef>
          </c:val>
          <c:smooth val="0"/>
          <c:extLst>
            <c:ext xmlns:c16="http://schemas.microsoft.com/office/drawing/2014/chart" uri="{C3380CC4-5D6E-409C-BE32-E72D297353CC}">
              <c16:uniqueId val="{00000003-6D30-43A1-A775-F66ADA65B78A}"/>
            </c:ext>
          </c:extLst>
        </c:ser>
        <c:ser>
          <c:idx val="4"/>
          <c:order val="4"/>
          <c:tx>
            <c:v>Energy Efficiency</c:v>
          </c:tx>
          <c:spPr>
            <a:ln w="28575" cap="rnd">
              <a:solidFill>
                <a:schemeClr val="accent5"/>
              </a:solidFill>
              <a:round/>
            </a:ln>
            <a:effectLst/>
          </c:spPr>
          <c:marker>
            <c:symbol val="none"/>
          </c:marker>
          <c:val>
            <c:numRef>
              <c:f>'Energy Efficiency'!$AD$7:$AD$15</c:f>
              <c:numCache>
                <c:formatCode>#,##0.000_ ;\-#,##0.000\ </c:formatCode>
                <c:ptCount val="9"/>
                <c:pt idx="0">
                  <c:v>7.9811862088108141</c:v>
                </c:pt>
                <c:pt idx="1">
                  <c:v>9.0408418312531538</c:v>
                </c:pt>
                <c:pt idx="2">
                  <c:v>10.198504639700365</c:v>
                </c:pt>
                <c:pt idx="3">
                  <c:v>11.452394952554677</c:v>
                </c:pt>
                <c:pt idx="4">
                  <c:v>12.810691321082018</c:v>
                </c:pt>
                <c:pt idx="5">
                  <c:v>14.276415777159226</c:v>
                </c:pt>
                <c:pt idx="6">
                  <c:v>15.856357643421584</c:v>
                </c:pt>
                <c:pt idx="7">
                  <c:v>17.546668925769776</c:v>
                </c:pt>
                <c:pt idx="8">
                  <c:v>19.354715582002818</c:v>
                </c:pt>
              </c:numCache>
            </c:numRef>
          </c:val>
          <c:smooth val="0"/>
          <c:extLst>
            <c:ext xmlns:c16="http://schemas.microsoft.com/office/drawing/2014/chart" uri="{C3380CC4-5D6E-409C-BE32-E72D297353CC}">
              <c16:uniqueId val="{00000004-6D30-43A1-A775-F66ADA65B78A}"/>
            </c:ext>
          </c:extLst>
        </c:ser>
        <c:dLbls>
          <c:showLegendKey val="0"/>
          <c:showVal val="0"/>
          <c:showCatName val="0"/>
          <c:showSerName val="0"/>
          <c:showPercent val="0"/>
          <c:showBubbleSize val="0"/>
        </c:dLbls>
        <c:smooth val="0"/>
        <c:axId val="454547728"/>
        <c:axId val="454547072"/>
      </c:lineChart>
      <c:catAx>
        <c:axId val="454547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072"/>
        <c:crosses val="autoZero"/>
        <c:auto val="1"/>
        <c:lblAlgn val="ctr"/>
        <c:lblOffset val="100"/>
        <c:noMultiLvlLbl val="0"/>
      </c:catAx>
      <c:valAx>
        <c:axId val="454547072"/>
        <c:scaling>
          <c:orientation val="minMax"/>
          <c:min val="7"/>
        </c:scaling>
        <c:delete val="0"/>
        <c:axPos val="l"/>
        <c:majorGridlines>
          <c:spPr>
            <a:ln w="9525" cap="flat" cmpd="sng" algn="ctr">
              <a:solidFill>
                <a:schemeClr val="tx1">
                  <a:lumMod val="15000"/>
                  <a:lumOff val="85000"/>
                </a:schemeClr>
              </a:solidFill>
              <a:round/>
            </a:ln>
            <a:effectLst/>
          </c:spPr>
        </c:majorGridlines>
        <c:numFmt formatCode="#,##0.000_ ;\-#,##0.00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100"/>
              <a:t>% solar and wind penetration in the electricity mix</a:t>
            </a:r>
          </a:p>
        </c:rich>
      </c:tx>
      <c:layout>
        <c:manualLayout>
          <c:xMode val="edge"/>
          <c:yMode val="edge"/>
          <c:x val="0.24558694981175155"/>
          <c:y val="3.698553251777783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v>BAU</c:v>
          </c:tx>
          <c:spPr>
            <a:ln w="28575" cap="rnd">
              <a:solidFill>
                <a:schemeClr val="accent2"/>
              </a:solidFill>
              <a:round/>
            </a:ln>
            <a:effectLst/>
          </c:spPr>
          <c:marker>
            <c:symbol val="none"/>
          </c:marke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BAU!$N$7:$N$15</c:f>
              <c:numCache>
                <c:formatCode>0.00%</c:formatCode>
                <c:ptCount val="9"/>
                <c:pt idx="0">
                  <c:v>0.12076844234856471</c:v>
                </c:pt>
                <c:pt idx="1">
                  <c:v>0.18013552191454876</c:v>
                </c:pt>
                <c:pt idx="2">
                  <c:v>0.27361719092297793</c:v>
                </c:pt>
                <c:pt idx="3">
                  <c:v>0.31278988591046891</c:v>
                </c:pt>
                <c:pt idx="4">
                  <c:v>0.36791501084981137</c:v>
                </c:pt>
                <c:pt idx="5">
                  <c:v>0.3887378102355602</c:v>
                </c:pt>
                <c:pt idx="6">
                  <c:v>0.41652273706444615</c:v>
                </c:pt>
                <c:pt idx="7">
                  <c:v>0.42334180229015295</c:v>
                </c:pt>
                <c:pt idx="8">
                  <c:v>0.4362278314272795</c:v>
                </c:pt>
              </c:numCache>
            </c:numRef>
          </c:val>
          <c:smooth val="0"/>
          <c:extLst>
            <c:ext xmlns:c16="http://schemas.microsoft.com/office/drawing/2014/chart" uri="{C3380CC4-5D6E-409C-BE32-E72D297353CC}">
              <c16:uniqueId val="{00000000-BA99-4761-85F0-223B517F7AD8}"/>
            </c:ext>
          </c:extLst>
        </c:ser>
        <c:ser>
          <c:idx val="0"/>
          <c:order val="1"/>
          <c:tx>
            <c:v>IEA NZE</c:v>
          </c:tx>
          <c:spPr>
            <a:ln w="28575" cap="rnd">
              <a:solidFill>
                <a:schemeClr val="accent1"/>
              </a:solidFill>
              <a:round/>
            </a:ln>
            <a:effectLst/>
          </c:spPr>
          <c:marker>
            <c:symbol val="none"/>
          </c:marker>
          <c:val>
            <c:numRef>
              <c:f>'IEA NZE'!$Q$7:$Q$15</c:f>
              <c:numCache>
                <c:formatCode>0.00%</c:formatCode>
                <c:ptCount val="9"/>
                <c:pt idx="0">
                  <c:v>9.0111285383523795E-2</c:v>
                </c:pt>
                <c:pt idx="1">
                  <c:v>9.0111285383523781E-2</c:v>
                </c:pt>
                <c:pt idx="2">
                  <c:v>9.0111285383523795E-2</c:v>
                </c:pt>
                <c:pt idx="3">
                  <c:v>0.40138278486440127</c:v>
                </c:pt>
                <c:pt idx="4">
                  <c:v>0.40138278486440132</c:v>
                </c:pt>
                <c:pt idx="5">
                  <c:v>0.63335278411401696</c:v>
                </c:pt>
                <c:pt idx="6">
                  <c:v>0.63335278411401696</c:v>
                </c:pt>
                <c:pt idx="7">
                  <c:v>0.67806756225057607</c:v>
                </c:pt>
                <c:pt idx="8">
                  <c:v>0.67806756225057618</c:v>
                </c:pt>
              </c:numCache>
            </c:numRef>
          </c:val>
          <c:smooth val="0"/>
          <c:extLst>
            <c:ext xmlns:c16="http://schemas.microsoft.com/office/drawing/2014/chart" uri="{C3380CC4-5D6E-409C-BE32-E72D297353CC}">
              <c16:uniqueId val="{00000001-BA99-4761-85F0-223B517F7AD8}"/>
            </c:ext>
          </c:extLst>
        </c:ser>
        <c:ser>
          <c:idx val="2"/>
          <c:order val="2"/>
          <c:tx>
            <c:v>High RES</c:v>
          </c:tx>
          <c:spPr>
            <a:ln w="28575" cap="rnd">
              <a:solidFill>
                <a:schemeClr val="accent3"/>
              </a:solidFill>
              <a:round/>
            </a:ln>
            <a:effectLst/>
          </c:spPr>
          <c:marker>
            <c:symbol val="none"/>
          </c:marker>
          <c:val>
            <c:numRef>
              <c:f>'High RES'!$Q$7:$Q$15</c:f>
              <c:numCache>
                <c:formatCode>0.00%</c:formatCode>
                <c:ptCount val="9"/>
                <c:pt idx="0">
                  <c:v>0.12078505660505993</c:v>
                </c:pt>
                <c:pt idx="1">
                  <c:v>0.1865892773006082</c:v>
                </c:pt>
                <c:pt idx="2">
                  <c:v>0.29632023482072567</c:v>
                </c:pt>
                <c:pt idx="3">
                  <c:v>0.3666845964696584</c:v>
                </c:pt>
                <c:pt idx="4">
                  <c:v>0.5022957451484964</c:v>
                </c:pt>
                <c:pt idx="5">
                  <c:v>0.57015668210272508</c:v>
                </c:pt>
                <c:pt idx="6">
                  <c:v>0.63510905619225155</c:v>
                </c:pt>
                <c:pt idx="7">
                  <c:v>0.67752812354888481</c:v>
                </c:pt>
                <c:pt idx="8">
                  <c:v>0.7153303157959251</c:v>
                </c:pt>
              </c:numCache>
            </c:numRef>
          </c:val>
          <c:smooth val="0"/>
          <c:extLst>
            <c:ext xmlns:c16="http://schemas.microsoft.com/office/drawing/2014/chart" uri="{C3380CC4-5D6E-409C-BE32-E72D297353CC}">
              <c16:uniqueId val="{00000002-BA99-4761-85F0-223B517F7AD8}"/>
            </c:ext>
          </c:extLst>
        </c:ser>
        <c:ser>
          <c:idx val="3"/>
          <c:order val="3"/>
          <c:tx>
            <c:v>Low Nuclear</c:v>
          </c:tx>
          <c:spPr>
            <a:ln w="28575" cap="rnd">
              <a:solidFill>
                <a:schemeClr val="accent4"/>
              </a:solidFill>
              <a:round/>
            </a:ln>
            <a:effectLst/>
          </c:spPr>
          <c:marker>
            <c:symbol val="none"/>
          </c:marker>
          <c:val>
            <c:numRef>
              <c:f>'Low Nuclear'!$Q$7:$Q$15</c:f>
              <c:numCache>
                <c:formatCode>0.00%</c:formatCode>
                <c:ptCount val="9"/>
                <c:pt idx="0">
                  <c:v>0.12076961842877279</c:v>
                </c:pt>
                <c:pt idx="1">
                  <c:v>0.18537671517626617</c:v>
                </c:pt>
                <c:pt idx="2">
                  <c:v>0.29427069660535421</c:v>
                </c:pt>
                <c:pt idx="3">
                  <c:v>0.35887786488877149</c:v>
                </c:pt>
                <c:pt idx="4">
                  <c:v>0.45764723644161881</c:v>
                </c:pt>
                <c:pt idx="5">
                  <c:v>0.50343909610092819</c:v>
                </c:pt>
                <c:pt idx="6">
                  <c:v>0.54653780380508798</c:v>
                </c:pt>
                <c:pt idx="7">
                  <c:v>0.57414691480864855</c:v>
                </c:pt>
                <c:pt idx="8">
                  <c:v>0.61291763968969393</c:v>
                </c:pt>
              </c:numCache>
            </c:numRef>
          </c:val>
          <c:smooth val="0"/>
          <c:extLst>
            <c:ext xmlns:c16="http://schemas.microsoft.com/office/drawing/2014/chart" uri="{C3380CC4-5D6E-409C-BE32-E72D297353CC}">
              <c16:uniqueId val="{00000003-BA99-4761-85F0-223B517F7AD8}"/>
            </c:ext>
          </c:extLst>
        </c:ser>
        <c:ser>
          <c:idx val="4"/>
          <c:order val="4"/>
          <c:tx>
            <c:v>Energy Efficiency</c:v>
          </c:tx>
          <c:spPr>
            <a:ln w="28575" cap="rnd">
              <a:solidFill>
                <a:schemeClr val="accent5"/>
              </a:solidFill>
              <a:round/>
            </a:ln>
            <a:effectLst/>
          </c:spPr>
          <c:marker>
            <c:symbol val="none"/>
          </c:marker>
          <c:val>
            <c:numRef>
              <c:f>'Energy Efficiency'!$Q$7:$Q$15</c:f>
              <c:numCache>
                <c:formatCode>0.00%</c:formatCode>
                <c:ptCount val="9"/>
                <c:pt idx="0">
                  <c:v>0.12076697228051554</c:v>
                </c:pt>
                <c:pt idx="1">
                  <c:v>0.1841819611245154</c:v>
                </c:pt>
                <c:pt idx="2">
                  <c:v>0.289826995632679</c:v>
                </c:pt>
                <c:pt idx="3">
                  <c:v>0.34792841990583417</c:v>
                </c:pt>
                <c:pt idx="4">
                  <c:v>0.43326503672629796</c:v>
                </c:pt>
                <c:pt idx="5">
                  <c:v>0.48104292295575618</c:v>
                </c:pt>
                <c:pt idx="6">
                  <c:v>0.52501260244755621</c:v>
                </c:pt>
                <c:pt idx="7">
                  <c:v>0.55854362760381182</c:v>
                </c:pt>
                <c:pt idx="8">
                  <c:v>0.59591534614300701</c:v>
                </c:pt>
              </c:numCache>
            </c:numRef>
          </c:val>
          <c:smooth val="0"/>
          <c:extLst>
            <c:ext xmlns:c16="http://schemas.microsoft.com/office/drawing/2014/chart" uri="{C3380CC4-5D6E-409C-BE32-E72D297353CC}">
              <c16:uniqueId val="{00000004-BA99-4761-85F0-223B517F7AD8}"/>
            </c:ext>
          </c:extLst>
        </c:ser>
        <c:dLbls>
          <c:showLegendKey val="0"/>
          <c:showVal val="0"/>
          <c:showCatName val="0"/>
          <c:showSerName val="0"/>
          <c:showPercent val="0"/>
          <c:showBubbleSize val="0"/>
        </c:dLbls>
        <c:smooth val="0"/>
        <c:axId val="454547728"/>
        <c:axId val="454547072"/>
      </c:lineChart>
      <c:catAx>
        <c:axId val="454547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072"/>
        <c:crosses val="autoZero"/>
        <c:auto val="1"/>
        <c:lblAlgn val="ctr"/>
        <c:lblOffset val="100"/>
        <c:noMultiLvlLbl val="0"/>
      </c:catAx>
      <c:valAx>
        <c:axId val="4545470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electricity generation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100"/>
              <a:t>Cumulated</a:t>
            </a:r>
            <a:r>
              <a:rPr lang="en-GB" sz="1100" baseline="0"/>
              <a:t> abatement compared to BAU</a:t>
            </a:r>
            <a:endParaRPr lang="en-GB" sz="1100"/>
          </a:p>
        </c:rich>
      </c:tx>
      <c:layout>
        <c:manualLayout>
          <c:xMode val="edge"/>
          <c:yMode val="edge"/>
          <c:x val="0.25980288591693679"/>
          <c:y val="4.161188734128567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IEA NZE</c:v>
          </c:tx>
          <c:spPr>
            <a:ln w="28575" cap="rnd">
              <a:solidFill>
                <a:schemeClr val="accent1"/>
              </a:solidFill>
              <a:round/>
            </a:ln>
            <a:effectLst/>
          </c:spPr>
          <c:marker>
            <c:symbol val="none"/>
          </c:marker>
          <c:cat>
            <c:numRef>
              <c:f>'IEA NZE'!$A$7:$A$15</c:f>
              <c:numCache>
                <c:formatCode>0</c:formatCode>
                <c:ptCount val="9"/>
                <c:pt idx="0">
                  <c:v>2010</c:v>
                </c:pt>
                <c:pt idx="1">
                  <c:v>2015</c:v>
                </c:pt>
                <c:pt idx="2">
                  <c:v>2020</c:v>
                </c:pt>
                <c:pt idx="3">
                  <c:v>2025</c:v>
                </c:pt>
                <c:pt idx="4">
                  <c:v>2030</c:v>
                </c:pt>
                <c:pt idx="5">
                  <c:v>2035</c:v>
                </c:pt>
                <c:pt idx="6">
                  <c:v>2040</c:v>
                </c:pt>
                <c:pt idx="7">
                  <c:v>2045</c:v>
                </c:pt>
                <c:pt idx="8">
                  <c:v>2050</c:v>
                </c:pt>
              </c:numCache>
            </c:numRef>
          </c:cat>
          <c:val>
            <c:numRef>
              <c:f>'IEA NZE'!$T$7:$T$15</c:f>
              <c:numCache>
                <c:formatCode>0.00%</c:formatCode>
                <c:ptCount val="9"/>
                <c:pt idx="0">
                  <c:v>0</c:v>
                </c:pt>
                <c:pt idx="1">
                  <c:v>0</c:v>
                </c:pt>
                <c:pt idx="2">
                  <c:v>0</c:v>
                </c:pt>
                <c:pt idx="3">
                  <c:v>0.24252373868879173</c:v>
                </c:pt>
                <c:pt idx="4">
                  <c:v>0.14965555636859185</c:v>
                </c:pt>
                <c:pt idx="5">
                  <c:v>0.58955613018550068</c:v>
                </c:pt>
                <c:pt idx="6">
                  <c:v>0.54853427276807509</c:v>
                </c:pt>
                <c:pt idx="7">
                  <c:v>0.59336998513605632</c:v>
                </c:pt>
                <c:pt idx="8">
                  <c:v>0.57614349677620136</c:v>
                </c:pt>
              </c:numCache>
            </c:numRef>
          </c:val>
          <c:smooth val="0"/>
          <c:extLst>
            <c:ext xmlns:c16="http://schemas.microsoft.com/office/drawing/2014/chart" uri="{C3380CC4-5D6E-409C-BE32-E72D297353CC}">
              <c16:uniqueId val="{00000001-88FD-474F-95CA-9E314967640F}"/>
            </c:ext>
          </c:extLst>
        </c:ser>
        <c:ser>
          <c:idx val="2"/>
          <c:order val="1"/>
          <c:tx>
            <c:v>High RES</c:v>
          </c:tx>
          <c:spPr>
            <a:ln w="28575" cap="rnd">
              <a:solidFill>
                <a:schemeClr val="accent3"/>
              </a:solidFill>
              <a:round/>
            </a:ln>
            <a:effectLst/>
          </c:spPr>
          <c:marker>
            <c:symbol val="none"/>
          </c:marker>
          <c:cat>
            <c:numRef>
              <c:f>'IEA NZE'!$A$7:$A$15</c:f>
              <c:numCache>
                <c:formatCode>0</c:formatCode>
                <c:ptCount val="9"/>
                <c:pt idx="0">
                  <c:v>2010</c:v>
                </c:pt>
                <c:pt idx="1">
                  <c:v>2015</c:v>
                </c:pt>
                <c:pt idx="2">
                  <c:v>2020</c:v>
                </c:pt>
                <c:pt idx="3">
                  <c:v>2025</c:v>
                </c:pt>
                <c:pt idx="4">
                  <c:v>2030</c:v>
                </c:pt>
                <c:pt idx="5">
                  <c:v>2035</c:v>
                </c:pt>
                <c:pt idx="6">
                  <c:v>2040</c:v>
                </c:pt>
                <c:pt idx="7">
                  <c:v>2045</c:v>
                </c:pt>
                <c:pt idx="8">
                  <c:v>2050</c:v>
                </c:pt>
              </c:numCache>
            </c:numRef>
          </c:cat>
          <c:val>
            <c:numRef>
              <c:f>'High RES'!$T$7:$T$15</c:f>
              <c:numCache>
                <c:formatCode>0.00%</c:formatCode>
                <c:ptCount val="9"/>
                <c:pt idx="0">
                  <c:v>8.4784719799987918E-5</c:v>
                </c:pt>
                <c:pt idx="1">
                  <c:v>1.3903769794187754E-2</c:v>
                </c:pt>
                <c:pt idx="2">
                  <c:v>4.2021652698800704E-2</c:v>
                </c:pt>
                <c:pt idx="3">
                  <c:v>9.7779133406092844E-2</c:v>
                </c:pt>
                <c:pt idx="4">
                  <c:v>0.2264113934766811</c:v>
                </c:pt>
                <c:pt idx="5">
                  <c:v>0.31737334112972593</c:v>
                </c:pt>
                <c:pt idx="6">
                  <c:v>0.39191543708470722</c:v>
                </c:pt>
                <c:pt idx="7">
                  <c:v>0.45568002122873286</c:v>
                </c:pt>
                <c:pt idx="8">
                  <c:v>0.49864704468618015</c:v>
                </c:pt>
              </c:numCache>
            </c:numRef>
          </c:val>
          <c:smooth val="0"/>
          <c:extLst>
            <c:ext xmlns:c16="http://schemas.microsoft.com/office/drawing/2014/chart" uri="{C3380CC4-5D6E-409C-BE32-E72D297353CC}">
              <c16:uniqueId val="{00000002-88FD-474F-95CA-9E314967640F}"/>
            </c:ext>
          </c:extLst>
        </c:ser>
        <c:ser>
          <c:idx val="3"/>
          <c:order val="2"/>
          <c:tx>
            <c:v>Low Nuclear</c:v>
          </c:tx>
          <c:spPr>
            <a:ln w="28575" cap="rnd">
              <a:solidFill>
                <a:schemeClr val="accent4"/>
              </a:solidFill>
              <a:round/>
            </a:ln>
            <a:effectLst/>
          </c:spPr>
          <c:marker>
            <c:symbol val="none"/>
          </c:marker>
          <c:cat>
            <c:numRef>
              <c:f>'IEA NZE'!$A$7:$A$15</c:f>
              <c:numCache>
                <c:formatCode>0</c:formatCode>
                <c:ptCount val="9"/>
                <c:pt idx="0">
                  <c:v>2010</c:v>
                </c:pt>
                <c:pt idx="1">
                  <c:v>2015</c:v>
                </c:pt>
                <c:pt idx="2">
                  <c:v>2020</c:v>
                </c:pt>
                <c:pt idx="3">
                  <c:v>2025</c:v>
                </c:pt>
                <c:pt idx="4">
                  <c:v>2030</c:v>
                </c:pt>
                <c:pt idx="5">
                  <c:v>2035</c:v>
                </c:pt>
                <c:pt idx="6">
                  <c:v>2040</c:v>
                </c:pt>
                <c:pt idx="7">
                  <c:v>2045</c:v>
                </c:pt>
                <c:pt idx="8">
                  <c:v>2050</c:v>
                </c:pt>
              </c:numCache>
            </c:numRef>
          </c:cat>
          <c:val>
            <c:numRef>
              <c:f>'Low Nuclear'!$T$7:$T$15</c:f>
              <c:numCache>
                <c:formatCode>0.00%</c:formatCode>
                <c:ptCount val="9"/>
                <c:pt idx="0">
                  <c:v>9.1364778184999107E-6</c:v>
                </c:pt>
                <c:pt idx="1">
                  <c:v>1.1049679429656012E-2</c:v>
                </c:pt>
                <c:pt idx="2">
                  <c:v>3.7615803488772914E-2</c:v>
                </c:pt>
                <c:pt idx="3">
                  <c:v>7.857830578322067E-2</c:v>
                </c:pt>
                <c:pt idx="4">
                  <c:v>0.13870464319042475</c:v>
                </c:pt>
                <c:pt idx="5">
                  <c:v>0.17101868498298234</c:v>
                </c:pt>
                <c:pt idx="6">
                  <c:v>0.19554666813478716</c:v>
                </c:pt>
                <c:pt idx="7">
                  <c:v>0.22915107548346342</c:v>
                </c:pt>
                <c:pt idx="8">
                  <c:v>0.28335097704965262</c:v>
                </c:pt>
              </c:numCache>
            </c:numRef>
          </c:val>
          <c:smooth val="0"/>
          <c:extLst>
            <c:ext xmlns:c16="http://schemas.microsoft.com/office/drawing/2014/chart" uri="{C3380CC4-5D6E-409C-BE32-E72D297353CC}">
              <c16:uniqueId val="{00000003-88FD-474F-95CA-9E314967640F}"/>
            </c:ext>
          </c:extLst>
        </c:ser>
        <c:ser>
          <c:idx val="4"/>
          <c:order val="3"/>
          <c:tx>
            <c:v>Energy Efficiency</c:v>
          </c:tx>
          <c:spPr>
            <a:ln w="28575" cap="rnd">
              <a:solidFill>
                <a:schemeClr val="accent5"/>
              </a:solidFill>
              <a:round/>
            </a:ln>
            <a:effectLst/>
          </c:spPr>
          <c:marker>
            <c:symbol val="none"/>
          </c:marker>
          <c:cat>
            <c:numRef>
              <c:f>'IEA NZE'!$A$7:$A$15</c:f>
              <c:numCache>
                <c:formatCode>0</c:formatCode>
                <c:ptCount val="9"/>
                <c:pt idx="0">
                  <c:v>2010</c:v>
                </c:pt>
                <c:pt idx="1">
                  <c:v>2015</c:v>
                </c:pt>
                <c:pt idx="2">
                  <c:v>2020</c:v>
                </c:pt>
                <c:pt idx="3">
                  <c:v>2025</c:v>
                </c:pt>
                <c:pt idx="4">
                  <c:v>2030</c:v>
                </c:pt>
                <c:pt idx="5">
                  <c:v>2035</c:v>
                </c:pt>
                <c:pt idx="6">
                  <c:v>2040</c:v>
                </c:pt>
                <c:pt idx="7">
                  <c:v>2045</c:v>
                </c:pt>
                <c:pt idx="8">
                  <c:v>2050</c:v>
                </c:pt>
              </c:numCache>
            </c:numRef>
          </c:cat>
          <c:val>
            <c:numRef>
              <c:f>'Energy Efficiency'!$T$7:$T$15</c:f>
              <c:numCache>
                <c:formatCode>0.00%</c:formatCode>
                <c:ptCount val="9"/>
                <c:pt idx="0">
                  <c:v>1.9180230267368259E-6</c:v>
                </c:pt>
                <c:pt idx="1">
                  <c:v>1.0222797448105309E-2</c:v>
                </c:pt>
                <c:pt idx="2">
                  <c:v>3.1468499256864457E-2</c:v>
                </c:pt>
                <c:pt idx="3">
                  <c:v>7.1090522632796749E-2</c:v>
                </c:pt>
                <c:pt idx="4">
                  <c:v>0.11798139557376403</c:v>
                </c:pt>
                <c:pt idx="5">
                  <c:v>0.17825181377393345</c:v>
                </c:pt>
                <c:pt idx="6">
                  <c:v>0.21188770427620099</c:v>
                </c:pt>
                <c:pt idx="7">
                  <c:v>0.26285374437755027</c:v>
                </c:pt>
                <c:pt idx="8">
                  <c:v>0.31278438571368666</c:v>
                </c:pt>
              </c:numCache>
            </c:numRef>
          </c:val>
          <c:smooth val="0"/>
          <c:extLst>
            <c:ext xmlns:c16="http://schemas.microsoft.com/office/drawing/2014/chart" uri="{C3380CC4-5D6E-409C-BE32-E72D297353CC}">
              <c16:uniqueId val="{00000004-88FD-474F-95CA-9E314967640F}"/>
            </c:ext>
          </c:extLst>
        </c:ser>
        <c:dLbls>
          <c:showLegendKey val="0"/>
          <c:showVal val="0"/>
          <c:showCatName val="0"/>
          <c:showSerName val="0"/>
          <c:showPercent val="0"/>
          <c:showBubbleSize val="0"/>
        </c:dLbls>
        <c:smooth val="0"/>
        <c:axId val="454547728"/>
        <c:axId val="454547072"/>
      </c:lineChart>
      <c:catAx>
        <c:axId val="454547728"/>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072"/>
        <c:crosses val="autoZero"/>
        <c:auto val="1"/>
        <c:lblAlgn val="ctr"/>
        <c:lblOffset val="100"/>
        <c:noMultiLvlLbl val="0"/>
      </c:catAx>
      <c:valAx>
        <c:axId val="4545470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CO2 reduction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GB" sz="1100"/>
              <a:t>Total needed investment in RES deployment, energy storage &amp; interconnections</a:t>
            </a:r>
          </a:p>
        </c:rich>
      </c:tx>
      <c:layout>
        <c:manualLayout>
          <c:xMode val="edge"/>
          <c:yMode val="edge"/>
          <c:x val="0.12160667112579471"/>
          <c:y val="3.7569773122745558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570180594685529"/>
          <c:y val="0.16686243106037194"/>
          <c:w val="0.85070197485322041"/>
          <c:h val="0.64555894795017998"/>
        </c:manualLayout>
      </c:layout>
      <c:barChart>
        <c:barDir val="col"/>
        <c:grouping val="clustered"/>
        <c:varyColors val="0"/>
        <c:ser>
          <c:idx val="0"/>
          <c:order val="0"/>
          <c:tx>
            <c:v>IEA NZE</c:v>
          </c:tx>
          <c:spPr>
            <a:solidFill>
              <a:schemeClr val="accent1"/>
            </a:solidFill>
            <a:ln>
              <a:noFill/>
            </a:ln>
            <a:effectLst/>
          </c:spPr>
          <c:invertIfNegative val="0"/>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'IEA NZE'!$P$7:$P$15</c:f>
              <c:numCache>
                <c:formatCode>#,##0.00_ ;\-#,##0.00\ </c:formatCode>
                <c:ptCount val="9"/>
                <c:pt idx="0">
                  <c:v>1.7100065361288266</c:v>
                </c:pt>
                <c:pt idx="1">
                  <c:v>1.5785373915305154</c:v>
                </c:pt>
                <c:pt idx="2">
                  <c:v>1.3779518029056179</c:v>
                </c:pt>
                <c:pt idx="3">
                  <c:v>6.6254492189007994</c:v>
                </c:pt>
                <c:pt idx="4">
                  <c:v>6.9253227687646834</c:v>
                </c:pt>
                <c:pt idx="5">
                  <c:v>11.147233157952771</c:v>
                </c:pt>
                <c:pt idx="6">
                  <c:v>11.428547140519569</c:v>
                </c:pt>
                <c:pt idx="7">
                  <c:v>12.291039131925954</c:v>
                </c:pt>
                <c:pt idx="8">
                  <c:v>12.420792267268848</c:v>
                </c:pt>
              </c:numCache>
            </c:numRef>
          </c:val>
          <c:extLst>
            <c:ext xmlns:c16="http://schemas.microsoft.com/office/drawing/2014/chart" uri="{C3380CC4-5D6E-409C-BE32-E72D297353CC}">
              <c16:uniqueId val="{00000001-33B9-4690-B6AC-B5BED6157A72}"/>
            </c:ext>
          </c:extLst>
        </c:ser>
        <c:ser>
          <c:idx val="2"/>
          <c:order val="1"/>
          <c:tx>
            <c:v>High RES</c:v>
          </c:tx>
          <c:spPr>
            <a:solidFill>
              <a:schemeClr val="accent6"/>
            </a:solidFill>
            <a:ln>
              <a:noFill/>
            </a:ln>
            <a:effectLst/>
          </c:spPr>
          <c:invertIfNegative val="0"/>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'High RES'!$P$7:$P$15</c:f>
              <c:numCache>
                <c:formatCode>#,##0.00_ ;\-#,##0.00\ </c:formatCode>
                <c:ptCount val="9"/>
                <c:pt idx="0">
                  <c:v>2.408131171866267</c:v>
                </c:pt>
                <c:pt idx="1">
                  <c:v>3.4329296601358879</c:v>
                </c:pt>
                <c:pt idx="2">
                  <c:v>4.7312502022816112</c:v>
                </c:pt>
                <c:pt idx="3">
                  <c:v>6.4963673974902933</c:v>
                </c:pt>
                <c:pt idx="4">
                  <c:v>9.1439663543204563</c:v>
                </c:pt>
                <c:pt idx="5">
                  <c:v>10.537426323971113</c:v>
                </c:pt>
                <c:pt idx="6">
                  <c:v>11.973934842953678</c:v>
                </c:pt>
                <c:pt idx="7">
                  <c:v>12.81960782908696</c:v>
                </c:pt>
                <c:pt idx="8">
                  <c:v>13.609558049719057</c:v>
                </c:pt>
              </c:numCache>
            </c:numRef>
          </c:val>
          <c:extLst>
            <c:ext xmlns:c16="http://schemas.microsoft.com/office/drawing/2014/chart" uri="{C3380CC4-5D6E-409C-BE32-E72D297353CC}">
              <c16:uniqueId val="{00000002-33B9-4690-B6AC-B5BED6157A72}"/>
            </c:ext>
          </c:extLst>
        </c:ser>
        <c:ser>
          <c:idx val="3"/>
          <c:order val="2"/>
          <c:tx>
            <c:v>Low Nuclear</c:v>
          </c:tx>
          <c:spPr>
            <a:solidFill>
              <a:schemeClr val="accent4"/>
            </a:solidFill>
            <a:ln>
              <a:noFill/>
            </a:ln>
            <a:effectLst/>
          </c:spPr>
          <c:invertIfNegative val="0"/>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'Low Nuclear'!$P$7:$P$15</c:f>
              <c:numCache>
                <c:formatCode>#,##0.00_ ;\-#,##0.00\ </c:formatCode>
                <c:ptCount val="9"/>
                <c:pt idx="0">
                  <c:v>2.4078233758971401</c:v>
                </c:pt>
                <c:pt idx="1">
                  <c:v>3.4091295514504374</c:v>
                </c:pt>
                <c:pt idx="2">
                  <c:v>4.7016292551062158</c:v>
                </c:pt>
                <c:pt idx="3">
                  <c:v>6.3905481661275578</c:v>
                </c:pt>
                <c:pt idx="4">
                  <c:v>8.4422217337388812</c:v>
                </c:pt>
                <c:pt idx="5">
                  <c:v>9.4358109177693876</c:v>
                </c:pt>
                <c:pt idx="6">
                  <c:v>10.382416304917387</c:v>
                </c:pt>
                <c:pt idx="7">
                  <c:v>10.922456334566672</c:v>
                </c:pt>
                <c:pt idx="8">
                  <c:v>11.737936519548274</c:v>
                </c:pt>
              </c:numCache>
            </c:numRef>
          </c:val>
          <c:extLst>
            <c:ext xmlns:c16="http://schemas.microsoft.com/office/drawing/2014/chart" uri="{C3380CC4-5D6E-409C-BE32-E72D297353CC}">
              <c16:uniqueId val="{00000003-33B9-4690-B6AC-B5BED6157A72}"/>
            </c:ext>
          </c:extLst>
        </c:ser>
        <c:ser>
          <c:idx val="4"/>
          <c:order val="3"/>
          <c:tx>
            <c:v>Energy Efficiency</c:v>
          </c:tx>
          <c:spPr>
            <a:solidFill>
              <a:schemeClr val="accent5"/>
            </a:solidFill>
            <a:ln>
              <a:noFill/>
            </a:ln>
            <a:effectLst/>
          </c:spPr>
          <c:invertIfNegative val="0"/>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'Energy Efficiency'!$P$7:$P$15</c:f>
              <c:numCache>
                <c:formatCode>#,##0.00_ ;\-#,##0.00\ </c:formatCode>
                <c:ptCount val="9"/>
                <c:pt idx="0">
                  <c:v>2.4077706187740091</c:v>
                </c:pt>
                <c:pt idx="1">
                  <c:v>3.3855664867910926</c:v>
                </c:pt>
                <c:pt idx="2">
                  <c:v>4.6315552385253973</c:v>
                </c:pt>
                <c:pt idx="3">
                  <c:v>6.2078584657676048</c:v>
                </c:pt>
                <c:pt idx="4">
                  <c:v>8.0184265700702948</c:v>
                </c:pt>
                <c:pt idx="5">
                  <c:v>9.0283205165033493</c:v>
                </c:pt>
                <c:pt idx="6">
                  <c:v>10.005208339365415</c:v>
                </c:pt>
                <c:pt idx="7">
                  <c:v>10.63313821862854</c:v>
                </c:pt>
                <c:pt idx="8">
                  <c:v>11.352714823496973</c:v>
                </c:pt>
              </c:numCache>
            </c:numRef>
          </c:val>
          <c:extLst>
            <c:ext xmlns:c16="http://schemas.microsoft.com/office/drawing/2014/chart" uri="{C3380CC4-5D6E-409C-BE32-E72D297353CC}">
              <c16:uniqueId val="{00000004-33B9-4690-B6AC-B5BED6157A72}"/>
            </c:ext>
          </c:extLst>
        </c:ser>
        <c:dLbls>
          <c:showLegendKey val="0"/>
          <c:showVal val="0"/>
          <c:showCatName val="0"/>
          <c:showSerName val="0"/>
          <c:showPercent val="0"/>
          <c:showBubbleSize val="0"/>
        </c:dLbls>
        <c:gapWidth val="150"/>
        <c:axId val="454547728"/>
        <c:axId val="454547072"/>
      </c:barChart>
      <c:catAx>
        <c:axId val="454547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072"/>
        <c:crosses val="autoZero"/>
        <c:auto val="1"/>
        <c:lblAlgn val="ctr"/>
        <c:lblOffset val="100"/>
        <c:noMultiLvlLbl val="0"/>
      </c:catAx>
      <c:valAx>
        <c:axId val="4545470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billion EUR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_ ;\-#,##0.00\ " sourceLinked="1"/>
        <c:majorTickMark val="none"/>
        <c:minorTickMark val="none"/>
        <c:tickLblPos val="nextTo"/>
        <c:spPr>
          <a:noFill/>
          <a:ln>
            <a:noFill/>
          </a:ln>
          <a:effectLst/>
        </c:spPr>
        <c:txPr>
          <a:bodyPr rot="-60000000" spcFirstLastPara="1" vertOverflow="ellipsis" vert="horz" wrap="square" anchor="b"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100"/>
              <a:t>Discounted utility per scenario</a:t>
            </a:r>
          </a:p>
        </c:rich>
      </c:tx>
      <c:layout>
        <c:manualLayout>
          <c:xMode val="edge"/>
          <c:yMode val="edge"/>
          <c:x val="0.33610092949586268"/>
          <c:y val="3.698553251777783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v>BAU</c:v>
          </c:tx>
          <c:spPr>
            <a:ln w="28575" cap="rnd">
              <a:solidFill>
                <a:schemeClr val="accent2"/>
              </a:solidFill>
              <a:round/>
            </a:ln>
            <a:effectLst/>
          </c:spPr>
          <c:marker>
            <c:symbol val="none"/>
          </c:marker>
          <c:cat>
            <c:numRef>
              <c:f>BAU!$A$7:$A$15</c:f>
              <c:numCache>
                <c:formatCode>General</c:formatCode>
                <c:ptCount val="9"/>
                <c:pt idx="0">
                  <c:v>2010</c:v>
                </c:pt>
                <c:pt idx="1">
                  <c:v>2015</c:v>
                </c:pt>
                <c:pt idx="2">
                  <c:v>2020</c:v>
                </c:pt>
                <c:pt idx="3">
                  <c:v>2025</c:v>
                </c:pt>
                <c:pt idx="4">
                  <c:v>2030</c:v>
                </c:pt>
                <c:pt idx="5">
                  <c:v>2035</c:v>
                </c:pt>
                <c:pt idx="6">
                  <c:v>2040</c:v>
                </c:pt>
                <c:pt idx="7">
                  <c:v>2045</c:v>
                </c:pt>
                <c:pt idx="8">
                  <c:v>2050</c:v>
                </c:pt>
              </c:numCache>
            </c:numRef>
          </c:cat>
          <c:val>
            <c:numRef>
              <c:f>BAU!$AB$7:$AB$15</c:f>
              <c:numCache>
                <c:formatCode>#,##0.00_ ;\-#,##0.00\ </c:formatCode>
                <c:ptCount val="9"/>
                <c:pt idx="0">
                  <c:v>96.55675839067878</c:v>
                </c:pt>
                <c:pt idx="1">
                  <c:v>96.98810929993293</c:v>
                </c:pt>
                <c:pt idx="2">
                  <c:v>97.559906332210204</c:v>
                </c:pt>
                <c:pt idx="3">
                  <c:v>97.992079961664118</c:v>
                </c:pt>
                <c:pt idx="4">
                  <c:v>98.316702515819784</c:v>
                </c:pt>
                <c:pt idx="5">
                  <c:v>98.523940987133926</c:v>
                </c:pt>
                <c:pt idx="6">
                  <c:v>98.617637055078049</c:v>
                </c:pt>
                <c:pt idx="7">
                  <c:v>98.590369408691174</c:v>
                </c:pt>
                <c:pt idx="8">
                  <c:v>98.446890251285197</c:v>
                </c:pt>
              </c:numCache>
            </c:numRef>
          </c:val>
          <c:smooth val="0"/>
          <c:extLst>
            <c:ext xmlns:c16="http://schemas.microsoft.com/office/drawing/2014/chart" uri="{C3380CC4-5D6E-409C-BE32-E72D297353CC}">
              <c16:uniqueId val="{00000000-51DB-42D9-8EF8-F1CB17B0088B}"/>
            </c:ext>
          </c:extLst>
        </c:ser>
        <c:ser>
          <c:idx val="0"/>
          <c:order val="1"/>
          <c:tx>
            <c:v>IEA NZE</c:v>
          </c:tx>
          <c:spPr>
            <a:ln w="28575" cap="rnd">
              <a:solidFill>
                <a:schemeClr val="accent1"/>
              </a:solidFill>
              <a:round/>
            </a:ln>
            <a:effectLst/>
          </c:spPr>
          <c:marker>
            <c:symbol val="none"/>
          </c:marker>
          <c:val>
            <c:numRef>
              <c:f>'IEA NZE'!$AG$7:$AG$15</c:f>
              <c:numCache>
                <c:formatCode>#,##0.00_ ;\-#,##0.00\ </c:formatCode>
                <c:ptCount val="9"/>
                <c:pt idx="0">
                  <c:v>96.55675839067878</c:v>
                </c:pt>
                <c:pt idx="1">
                  <c:v>97.261553671958211</c:v>
                </c:pt>
                <c:pt idx="2">
                  <c:v>97.806476757344242</c:v>
                </c:pt>
                <c:pt idx="3">
                  <c:v>98.274830762399546</c:v>
                </c:pt>
                <c:pt idx="4">
                  <c:v>98.767989847520155</c:v>
                </c:pt>
                <c:pt idx="5">
                  <c:v>98.77587488855788</c:v>
                </c:pt>
                <c:pt idx="6">
                  <c:v>99.242738754249686</c:v>
                </c:pt>
                <c:pt idx="7">
                  <c:v>99.485914540899557</c:v>
                </c:pt>
                <c:pt idx="8">
                  <c:v>99.747356661303996</c:v>
                </c:pt>
              </c:numCache>
            </c:numRef>
          </c:val>
          <c:smooth val="0"/>
          <c:extLst>
            <c:ext xmlns:c16="http://schemas.microsoft.com/office/drawing/2014/chart" uri="{C3380CC4-5D6E-409C-BE32-E72D297353CC}">
              <c16:uniqueId val="{00000001-51DB-42D9-8EF8-F1CB17B0088B}"/>
            </c:ext>
          </c:extLst>
        </c:ser>
        <c:ser>
          <c:idx val="2"/>
          <c:order val="2"/>
          <c:tx>
            <c:v>High RES</c:v>
          </c:tx>
          <c:spPr>
            <a:ln w="28575" cap="rnd">
              <a:solidFill>
                <a:schemeClr val="accent3"/>
              </a:solidFill>
              <a:round/>
            </a:ln>
            <a:effectLst/>
          </c:spPr>
          <c:marker>
            <c:symbol val="none"/>
          </c:marker>
          <c:val>
            <c:numRef>
              <c:f>'High RES'!$AG$7:$AG$15</c:f>
              <c:numCache>
                <c:formatCode>#,##0.00_ ;\-#,##0.00\ </c:formatCode>
                <c:ptCount val="9"/>
                <c:pt idx="0">
                  <c:v>96.556758390667696</c:v>
                </c:pt>
                <c:pt idx="1">
                  <c:v>97.292853894547889</c:v>
                </c:pt>
                <c:pt idx="2">
                  <c:v>97.919546900885862</c:v>
                </c:pt>
                <c:pt idx="3">
                  <c:v>98.424104017751446</c:v>
                </c:pt>
                <c:pt idx="4">
                  <c:v>98.824200014585841</c:v>
                </c:pt>
                <c:pt idx="5">
                  <c:v>99.149601078992717</c:v>
                </c:pt>
                <c:pt idx="6">
                  <c:v>99.405754905910129</c:v>
                </c:pt>
                <c:pt idx="7">
                  <c:v>99.59320239255274</c:v>
                </c:pt>
                <c:pt idx="8">
                  <c:v>99.729541893161766</c:v>
                </c:pt>
              </c:numCache>
            </c:numRef>
          </c:val>
          <c:smooth val="0"/>
          <c:extLst>
            <c:ext xmlns:c16="http://schemas.microsoft.com/office/drawing/2014/chart" uri="{C3380CC4-5D6E-409C-BE32-E72D297353CC}">
              <c16:uniqueId val="{00000002-51DB-42D9-8EF8-F1CB17B0088B}"/>
            </c:ext>
          </c:extLst>
        </c:ser>
        <c:ser>
          <c:idx val="3"/>
          <c:order val="3"/>
          <c:tx>
            <c:v>Low Nuclear</c:v>
          </c:tx>
          <c:spPr>
            <a:ln w="28575" cap="rnd">
              <a:solidFill>
                <a:schemeClr val="accent4"/>
              </a:solidFill>
              <a:round/>
            </a:ln>
            <a:effectLst/>
          </c:spPr>
          <c:marker>
            <c:symbol val="none"/>
          </c:marker>
          <c:val>
            <c:numRef>
              <c:f>'Low Nuclear'!$AG$7:$AG$15</c:f>
              <c:numCache>
                <c:formatCode>#,##0.00_ ;\-#,##0.00\ </c:formatCode>
                <c:ptCount val="9"/>
                <c:pt idx="0">
                  <c:v>96.556758390678752</c:v>
                </c:pt>
                <c:pt idx="1">
                  <c:v>97.292614734973029</c:v>
                </c:pt>
                <c:pt idx="2">
                  <c:v>97.918111704314398</c:v>
                </c:pt>
                <c:pt idx="3">
                  <c:v>98.419370687832071</c:v>
                </c:pt>
                <c:pt idx="4">
                  <c:v>98.823032718533824</c:v>
                </c:pt>
                <c:pt idx="5">
                  <c:v>99.136468699846446</c:v>
                </c:pt>
                <c:pt idx="6">
                  <c:v>99.361133594935652</c:v>
                </c:pt>
                <c:pt idx="7">
                  <c:v>99.494005060290391</c:v>
                </c:pt>
                <c:pt idx="8">
                  <c:v>99.547835690087652</c:v>
                </c:pt>
              </c:numCache>
            </c:numRef>
          </c:val>
          <c:smooth val="0"/>
          <c:extLst>
            <c:ext xmlns:c16="http://schemas.microsoft.com/office/drawing/2014/chart" uri="{C3380CC4-5D6E-409C-BE32-E72D297353CC}">
              <c16:uniqueId val="{00000003-51DB-42D9-8EF8-F1CB17B0088B}"/>
            </c:ext>
          </c:extLst>
        </c:ser>
        <c:ser>
          <c:idx val="4"/>
          <c:order val="4"/>
          <c:tx>
            <c:v>Energy Efficiency</c:v>
          </c:tx>
          <c:spPr>
            <a:ln w="28575" cap="rnd">
              <a:solidFill>
                <a:schemeClr val="accent5"/>
              </a:solidFill>
              <a:round/>
            </a:ln>
            <a:effectLst/>
          </c:spPr>
          <c:marker>
            <c:symbol val="none"/>
          </c:marker>
          <c:val>
            <c:numRef>
              <c:f>'Energy Efficiency'!$AG$7:$AG$15</c:f>
              <c:numCache>
                <c:formatCode>#,##0.00_ ;\-#,##0.00\ </c:formatCode>
                <c:ptCount val="9"/>
                <c:pt idx="0">
                  <c:v>96.55675839067878</c:v>
                </c:pt>
                <c:pt idx="1">
                  <c:v>97.292798840611383</c:v>
                </c:pt>
                <c:pt idx="2">
                  <c:v>97.918185849167998</c:v>
                </c:pt>
                <c:pt idx="3">
                  <c:v>98.419882298861609</c:v>
                </c:pt>
                <c:pt idx="4">
                  <c:v>98.82667292698072</c:v>
                </c:pt>
                <c:pt idx="5">
                  <c:v>99.14375909668432</c:v>
                </c:pt>
                <c:pt idx="6">
                  <c:v>99.385609380414451</c:v>
                </c:pt>
                <c:pt idx="7">
                  <c:v>99.541492428205771</c:v>
                </c:pt>
                <c:pt idx="8">
                  <c:v>99.627764200270633</c:v>
                </c:pt>
              </c:numCache>
            </c:numRef>
          </c:val>
          <c:smooth val="0"/>
          <c:extLst>
            <c:ext xmlns:c16="http://schemas.microsoft.com/office/drawing/2014/chart" uri="{C3380CC4-5D6E-409C-BE32-E72D297353CC}">
              <c16:uniqueId val="{00000004-51DB-42D9-8EF8-F1CB17B0088B}"/>
            </c:ext>
          </c:extLst>
        </c:ser>
        <c:dLbls>
          <c:showLegendKey val="0"/>
          <c:showVal val="0"/>
          <c:showCatName val="0"/>
          <c:showSerName val="0"/>
          <c:showPercent val="0"/>
          <c:showBubbleSize val="0"/>
        </c:dLbls>
        <c:smooth val="0"/>
        <c:axId val="454547728"/>
        <c:axId val="454547072"/>
      </c:lineChart>
      <c:catAx>
        <c:axId val="454547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072"/>
        <c:crosses val="autoZero"/>
        <c:auto val="1"/>
        <c:lblAlgn val="ctr"/>
        <c:lblOffset val="100"/>
        <c:noMultiLvlLbl val="0"/>
      </c:catAx>
      <c:valAx>
        <c:axId val="454547072"/>
        <c:scaling>
          <c:orientation val="minMax"/>
          <c:min val="96"/>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900"/>
                  <a:t>ln per capita consumption in steady state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_ ;\-#,##0.0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4547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withinLinear" id="19">
  <a:schemeClr val="accent6"/>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twoCellAnchor>
    <xdr:from>
      <xdr:col>1</xdr:col>
      <xdr:colOff>141867</xdr:colOff>
      <xdr:row>2</xdr:row>
      <xdr:rowOff>86060</xdr:rowOff>
    </xdr:from>
    <xdr:to>
      <xdr:col>9</xdr:col>
      <xdr:colOff>326571</xdr:colOff>
      <xdr:row>17</xdr:row>
      <xdr:rowOff>136039</xdr:rowOff>
    </xdr:to>
    <xdr:graphicFrame macro="">
      <xdr:nvGraphicFramePr>
        <xdr:cNvPr id="14" name="Chart 13">
          <a:extLst>
            <a:ext uri="{FF2B5EF4-FFF2-40B4-BE49-F238E27FC236}">
              <a16:creationId xmlns:a16="http://schemas.microsoft.com/office/drawing/2014/main" id="{29207692-CCFC-4AEF-87A2-88170788F4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49626</xdr:colOff>
      <xdr:row>2</xdr:row>
      <xdr:rowOff>71733</xdr:rowOff>
    </xdr:from>
    <xdr:to>
      <xdr:col>19</xdr:col>
      <xdr:colOff>27215</xdr:colOff>
      <xdr:row>17</xdr:row>
      <xdr:rowOff>135047</xdr:rowOff>
    </xdr:to>
    <xdr:graphicFrame macro="">
      <xdr:nvGraphicFramePr>
        <xdr:cNvPr id="15" name="Chart 14">
          <a:extLst>
            <a:ext uri="{FF2B5EF4-FFF2-40B4-BE49-F238E27FC236}">
              <a16:creationId xmlns:a16="http://schemas.microsoft.com/office/drawing/2014/main" id="{F259C308-0F8F-4390-949D-199D57EE64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320889</xdr:colOff>
      <xdr:row>2</xdr:row>
      <xdr:rowOff>93233</xdr:rowOff>
    </xdr:from>
    <xdr:to>
      <xdr:col>28</xdr:col>
      <xdr:colOff>188325</xdr:colOff>
      <xdr:row>17</xdr:row>
      <xdr:rowOff>163285</xdr:rowOff>
    </xdr:to>
    <xdr:graphicFrame macro="">
      <xdr:nvGraphicFramePr>
        <xdr:cNvPr id="16" name="Chart 15">
          <a:extLst>
            <a:ext uri="{FF2B5EF4-FFF2-40B4-BE49-F238E27FC236}">
              <a16:creationId xmlns:a16="http://schemas.microsoft.com/office/drawing/2014/main" id="{8D6A7D4B-83DC-4AF0-9966-5DB45BAA59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589109</xdr:colOff>
      <xdr:row>60</xdr:row>
      <xdr:rowOff>20699</xdr:rowOff>
    </xdr:from>
    <xdr:to>
      <xdr:col>9</xdr:col>
      <xdr:colOff>367393</xdr:colOff>
      <xdr:row>75</xdr:row>
      <xdr:rowOff>95443</xdr:rowOff>
    </xdr:to>
    <xdr:graphicFrame macro="">
      <xdr:nvGraphicFramePr>
        <xdr:cNvPr id="17" name="Chart 16">
          <a:extLst>
            <a:ext uri="{FF2B5EF4-FFF2-40B4-BE49-F238E27FC236}">
              <a16:creationId xmlns:a16="http://schemas.microsoft.com/office/drawing/2014/main" id="{611349FE-E1C3-4938-A9BD-3DA8E9A700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45319</xdr:colOff>
      <xdr:row>60</xdr:row>
      <xdr:rowOff>19210</xdr:rowOff>
    </xdr:from>
    <xdr:to>
      <xdr:col>18</xdr:col>
      <xdr:colOff>525075</xdr:colOff>
      <xdr:row>75</xdr:row>
      <xdr:rowOff>93954</xdr:rowOff>
    </xdr:to>
    <xdr:graphicFrame macro="">
      <xdr:nvGraphicFramePr>
        <xdr:cNvPr id="19" name="Chart 18">
          <a:extLst>
            <a:ext uri="{FF2B5EF4-FFF2-40B4-BE49-F238E27FC236}">
              <a16:creationId xmlns:a16="http://schemas.microsoft.com/office/drawing/2014/main" id="{9D67D5DC-DBCA-4EBC-A530-59B7EBCAD5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40708</xdr:colOff>
      <xdr:row>22</xdr:row>
      <xdr:rowOff>57150</xdr:rowOff>
    </xdr:from>
    <xdr:to>
      <xdr:col>9</xdr:col>
      <xdr:colOff>314869</xdr:colOff>
      <xdr:row>37</xdr:row>
      <xdr:rowOff>96354</xdr:rowOff>
    </xdr:to>
    <xdr:graphicFrame macro="">
      <xdr:nvGraphicFramePr>
        <xdr:cNvPr id="20" name="Chart 19">
          <a:extLst>
            <a:ext uri="{FF2B5EF4-FFF2-40B4-BE49-F238E27FC236}">
              <a16:creationId xmlns:a16="http://schemas.microsoft.com/office/drawing/2014/main" id="{F344EFE6-591D-4E21-A00F-8BF928B271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18</xdr:col>
      <xdr:colOff>294139</xdr:colOff>
      <xdr:row>22</xdr:row>
      <xdr:rowOff>58846</xdr:rowOff>
    </xdr:from>
    <xdr:to>
      <xdr:col>27</xdr:col>
      <xdr:colOff>224118</xdr:colOff>
      <xdr:row>37</xdr:row>
      <xdr:rowOff>97395</xdr:rowOff>
    </xdr:to>
    <xdr:graphicFrame macro="">
      <xdr:nvGraphicFramePr>
        <xdr:cNvPr id="21" name="Chart 20">
          <a:extLst>
            <a:ext uri="{FF2B5EF4-FFF2-40B4-BE49-F238E27FC236}">
              <a16:creationId xmlns:a16="http://schemas.microsoft.com/office/drawing/2014/main" id="{17343D01-7135-4D48-9E18-4952A5373D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78442</xdr:colOff>
      <xdr:row>22</xdr:row>
      <xdr:rowOff>22188</xdr:rowOff>
    </xdr:from>
    <xdr:to>
      <xdr:col>37</xdr:col>
      <xdr:colOff>552824</xdr:colOff>
      <xdr:row>38</xdr:row>
      <xdr:rowOff>93584</xdr:rowOff>
    </xdr:to>
    <xdr:graphicFrame macro="">
      <xdr:nvGraphicFramePr>
        <xdr:cNvPr id="22" name="Chart 21">
          <a:extLst>
            <a:ext uri="{FF2B5EF4-FFF2-40B4-BE49-F238E27FC236}">
              <a16:creationId xmlns:a16="http://schemas.microsoft.com/office/drawing/2014/main" id="{980ED7F8-A343-41B9-A425-D133C1A54E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19</xdr:col>
      <xdr:colOff>194503</xdr:colOff>
      <xdr:row>60</xdr:row>
      <xdr:rowOff>3315</xdr:rowOff>
    </xdr:from>
    <xdr:to>
      <xdr:col>28</xdr:col>
      <xdr:colOff>50925</xdr:colOff>
      <xdr:row>75</xdr:row>
      <xdr:rowOff>62819</xdr:rowOff>
    </xdr:to>
    <xdr:graphicFrame macro="">
      <xdr:nvGraphicFramePr>
        <xdr:cNvPr id="23" name="Chart 22">
          <a:extLst>
            <a:ext uri="{FF2B5EF4-FFF2-40B4-BE49-F238E27FC236}">
              <a16:creationId xmlns:a16="http://schemas.microsoft.com/office/drawing/2014/main" id="{A52B2EB6-7B15-47B3-A4B1-664430796E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28</xdr:col>
      <xdr:colOff>257927</xdr:colOff>
      <xdr:row>60</xdr:row>
      <xdr:rowOff>16617</xdr:rowOff>
    </xdr:from>
    <xdr:to>
      <xdr:col>37</xdr:col>
      <xdr:colOff>125362</xdr:colOff>
      <xdr:row>75</xdr:row>
      <xdr:rowOff>83741</xdr:rowOff>
    </xdr:to>
    <xdr:graphicFrame macro="">
      <xdr:nvGraphicFramePr>
        <xdr:cNvPr id="24" name="Chart 23">
          <a:extLst>
            <a:ext uri="{FF2B5EF4-FFF2-40B4-BE49-F238E27FC236}">
              <a16:creationId xmlns:a16="http://schemas.microsoft.com/office/drawing/2014/main" id="{7BD17B0D-2D66-4C9B-B6E6-986915502C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554081</xdr:colOff>
      <xdr:row>40</xdr:row>
      <xdr:rowOff>149679</xdr:rowOff>
    </xdr:from>
    <xdr:to>
      <xdr:col>8</xdr:col>
      <xdr:colOff>231321</xdr:colOff>
      <xdr:row>56</xdr:row>
      <xdr:rowOff>54973</xdr:rowOff>
    </xdr:to>
    <xdr:graphicFrame macro="">
      <xdr:nvGraphicFramePr>
        <xdr:cNvPr id="25" name="Chart 24">
          <a:extLst>
            <a:ext uri="{FF2B5EF4-FFF2-40B4-BE49-F238E27FC236}">
              <a16:creationId xmlns:a16="http://schemas.microsoft.com/office/drawing/2014/main" id="{2163E7C9-4887-468E-A6FD-1AC637A22C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8</xdr:col>
      <xdr:colOff>408215</xdr:colOff>
      <xdr:row>40</xdr:row>
      <xdr:rowOff>136072</xdr:rowOff>
    </xdr:from>
    <xdr:to>
      <xdr:col>16</xdr:col>
      <xdr:colOff>87359</xdr:colOff>
      <xdr:row>56</xdr:row>
      <xdr:rowOff>47081</xdr:rowOff>
    </xdr:to>
    <xdr:graphicFrame macro="">
      <xdr:nvGraphicFramePr>
        <xdr:cNvPr id="26" name="Chart 25">
          <a:extLst>
            <a:ext uri="{FF2B5EF4-FFF2-40B4-BE49-F238E27FC236}">
              <a16:creationId xmlns:a16="http://schemas.microsoft.com/office/drawing/2014/main" id="{FEC7CF22-A3FF-4590-8C93-8D2BBDB0D9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16</xdr:col>
      <xdr:colOff>272142</xdr:colOff>
      <xdr:row>40</xdr:row>
      <xdr:rowOff>136071</xdr:rowOff>
    </xdr:from>
    <xdr:to>
      <xdr:col>23</xdr:col>
      <xdr:colOff>565513</xdr:colOff>
      <xdr:row>56</xdr:row>
      <xdr:rowOff>56605</xdr:rowOff>
    </xdr:to>
    <xdr:graphicFrame macro="">
      <xdr:nvGraphicFramePr>
        <xdr:cNvPr id="27" name="Chart 26">
          <a:extLst>
            <a:ext uri="{FF2B5EF4-FFF2-40B4-BE49-F238E27FC236}">
              <a16:creationId xmlns:a16="http://schemas.microsoft.com/office/drawing/2014/main" id="{400B9297-046A-4BCC-BA90-9B6E1A0165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95250</xdr:colOff>
      <xdr:row>40</xdr:row>
      <xdr:rowOff>122464</xdr:rowOff>
    </xdr:from>
    <xdr:to>
      <xdr:col>31</xdr:col>
      <xdr:colOff>381001</xdr:colOff>
      <xdr:row>56</xdr:row>
      <xdr:rowOff>48713</xdr:rowOff>
    </xdr:to>
    <xdr:graphicFrame macro="">
      <xdr:nvGraphicFramePr>
        <xdr:cNvPr id="28" name="Chart 27">
          <a:extLst>
            <a:ext uri="{FF2B5EF4-FFF2-40B4-BE49-F238E27FC236}">
              <a16:creationId xmlns:a16="http://schemas.microsoft.com/office/drawing/2014/main" id="{4E99D443-48B1-4005-8C81-B3FFFFEA28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31</xdr:col>
      <xdr:colOff>530679</xdr:colOff>
      <xdr:row>40</xdr:row>
      <xdr:rowOff>108857</xdr:rowOff>
    </xdr:from>
    <xdr:to>
      <xdr:col>39</xdr:col>
      <xdr:colOff>204108</xdr:colOff>
      <xdr:row>56</xdr:row>
      <xdr:rowOff>33201</xdr:rowOff>
    </xdr:to>
    <xdr:graphicFrame macro="">
      <xdr:nvGraphicFramePr>
        <xdr:cNvPr id="29" name="Chart 28">
          <a:extLst>
            <a:ext uri="{FF2B5EF4-FFF2-40B4-BE49-F238E27FC236}">
              <a16:creationId xmlns:a16="http://schemas.microsoft.com/office/drawing/2014/main" id="{1481C741-578F-4986-8B85-B0E6329CF5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156882</xdr:colOff>
      <xdr:row>22</xdr:row>
      <xdr:rowOff>22412</xdr:rowOff>
    </xdr:from>
    <xdr:to>
      <xdr:col>17</xdr:col>
      <xdr:colOff>341395</xdr:colOff>
      <xdr:row>37</xdr:row>
      <xdr:rowOff>61616</xdr:rowOff>
    </xdr:to>
    <xdr:graphicFrame macro="">
      <xdr:nvGraphicFramePr>
        <xdr:cNvPr id="30" name="Chart 29">
          <a:extLst>
            <a:ext uri="{FF2B5EF4-FFF2-40B4-BE49-F238E27FC236}">
              <a16:creationId xmlns:a16="http://schemas.microsoft.com/office/drawing/2014/main" id="{A0F968C2-4A4D-4789-B2E4-2470570776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38</xdr:col>
      <xdr:colOff>358589</xdr:colOff>
      <xdr:row>22</xdr:row>
      <xdr:rowOff>22411</xdr:rowOff>
    </xdr:from>
    <xdr:to>
      <xdr:col>48</xdr:col>
      <xdr:colOff>227853</xdr:colOff>
      <xdr:row>38</xdr:row>
      <xdr:rowOff>93807</xdr:rowOff>
    </xdr:to>
    <xdr:graphicFrame macro="">
      <xdr:nvGraphicFramePr>
        <xdr:cNvPr id="2" name="Chart 1">
          <a:extLst>
            <a:ext uri="{FF2B5EF4-FFF2-40B4-BE49-F238E27FC236}">
              <a16:creationId xmlns:a16="http://schemas.microsoft.com/office/drawing/2014/main" id="{B02EC4F2-1771-48E7-9710-D02453264D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134434</xdr:colOff>
      <xdr:row>5</xdr:row>
      <xdr:rowOff>345498</xdr:rowOff>
    </xdr:from>
    <xdr:to>
      <xdr:col>44</xdr:col>
      <xdr:colOff>447675</xdr:colOff>
      <xdr:row>17</xdr:row>
      <xdr:rowOff>180975</xdr:rowOff>
    </xdr:to>
    <xdr:graphicFrame macro="">
      <xdr:nvGraphicFramePr>
        <xdr:cNvPr id="2" name="Chart 1">
          <a:extLst>
            <a:ext uri="{FF2B5EF4-FFF2-40B4-BE49-F238E27FC236}">
              <a16:creationId xmlns:a16="http://schemas.microsoft.com/office/drawing/2014/main" id="{AC91A7D9-2F5E-4C99-84B0-6EB4A98E22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Luis Galiano" id="{71D28D95-4247-464A-93ED-785FD380F009}" userId="S::Luis.galiano@CECED.onmicrosoft.com::310b5cbb-d820-4374-b88c-3b75bb87b49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V7" dT="2021-10-19T18:39:40.26" personId="{71D28D95-4247-464A-93ED-785FD380F009}" id="{1B382470-484B-4B49-A9B8-6AF7517C55F3}">
    <text>Son muy bajos porque en la formula estamos elevando a 2.8 un porcentaje muy bajo - mantenerlo asi de momento y consultar con directoras</text>
  </threadedComment>
</ThreadedComments>
</file>

<file path=xl/threadedComments/threadedComment2.xml><?xml version="1.0" encoding="utf-8"?>
<ThreadedComments xmlns="http://schemas.microsoft.com/office/spreadsheetml/2018/threadedcomments" xmlns:x="http://schemas.openxmlformats.org/spreadsheetml/2006/main">
  <threadedComment ref="V7" dT="2021-10-19T18:39:40.26" personId="{71D28D95-4247-464A-93ED-785FD380F009}" id="{9D75A446-178A-40D7-8C16-F4E7CACF2955}">
    <text>Son muy bajos porque en la formula estamos elevando a 2.8 un porcentaje muy bajo - mantenerlo asi de momento y consultar con directoras</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www.irena.org/publications/2022/Jul/Renewable-Power-Generation-Costs-in-2021" TargetMode="External"/><Relationship Id="rId2" Type="http://schemas.openxmlformats.org/officeDocument/2006/relationships/hyperlink" Target="https://www.lazard.com/perspective/levelized-cost-of-energy-levelized-cost-of-storage-and-levelized-cost-of-hydrogen/" TargetMode="External"/><Relationship Id="rId1" Type="http://schemas.openxmlformats.org/officeDocument/2006/relationships/hyperlink" Target="https://www.ise.fraunhofer.de/content/dam/ise/en/documents/publications/studies/EN2021_Fraunhofer-ISE_LCOE_Renewable_Energy_Technologies.pdf" TargetMode="External"/><Relationship Id="rId5" Type="http://schemas.openxmlformats.org/officeDocument/2006/relationships/printerSettings" Target="../printerSettings/printerSettings1.bin"/><Relationship Id="rId4" Type="http://schemas.openxmlformats.org/officeDocument/2006/relationships/hyperlink" Target="https://www.iea.org/reports/net-zero-by-2050"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Q123"/>
  <sheetViews>
    <sheetView showGridLines="0" tabSelected="1" zoomScaleNormal="100" workbookViewId="0">
      <pane xSplit="1" topLeftCell="B1" activePane="topRight" state="frozen"/>
      <selection activeCell="A22" sqref="A22"/>
      <selection pane="topRight" activeCell="E112" sqref="E112"/>
    </sheetView>
  </sheetViews>
  <sheetFormatPr defaultColWidth="11.42578125" defaultRowHeight="15" x14ac:dyDescent="0.25"/>
  <cols>
    <col min="1" max="1" width="37.28515625" customWidth="1"/>
    <col min="2" max="2" width="20.140625" style="79" customWidth="1"/>
    <col min="3" max="3" width="23.7109375" customWidth="1"/>
    <col min="4" max="4" width="25.140625" customWidth="1"/>
    <col min="5" max="5" width="30.85546875" style="2" customWidth="1"/>
    <col min="6" max="7" width="22.28515625" bestFit="1" customWidth="1"/>
    <col min="8" max="11" width="22" customWidth="1"/>
    <col min="12" max="15" width="23" customWidth="1"/>
    <col min="16" max="16" width="18.42578125" customWidth="1"/>
    <col min="17" max="17" width="14.140625" customWidth="1"/>
    <col min="18" max="18" width="13.85546875" customWidth="1"/>
    <col min="19" max="19" width="18.28515625" customWidth="1"/>
  </cols>
  <sheetData>
    <row r="1" spans="1:5" ht="18.75" x14ac:dyDescent="0.3">
      <c r="A1" s="31" t="s">
        <v>70</v>
      </c>
    </row>
    <row r="2" spans="1:5" ht="15.75" customHeight="1" x14ac:dyDescent="0.25">
      <c r="A2" s="15" t="s">
        <v>3</v>
      </c>
      <c r="B2" s="15" t="s">
        <v>1</v>
      </c>
      <c r="C2" s="57" t="s">
        <v>2</v>
      </c>
      <c r="D2" s="15" t="s">
        <v>7</v>
      </c>
      <c r="E2" s="15" t="s">
        <v>22</v>
      </c>
    </row>
    <row r="3" spans="1:5" ht="95.25" customHeight="1" x14ac:dyDescent="0.25">
      <c r="A3" s="52" t="s">
        <v>53</v>
      </c>
      <c r="B3" s="66" t="s">
        <v>55</v>
      </c>
      <c r="C3" s="105">
        <v>2.3E-2</v>
      </c>
      <c r="D3" s="52" t="s">
        <v>56</v>
      </c>
      <c r="E3" s="53" t="s">
        <v>258</v>
      </c>
    </row>
    <row r="4" spans="1:5" x14ac:dyDescent="0.25">
      <c r="A4" s="52" t="s">
        <v>57</v>
      </c>
      <c r="B4" s="66" t="s">
        <v>58</v>
      </c>
      <c r="C4" s="58">
        <v>5.1999999999999998E-2</v>
      </c>
      <c r="D4" s="52" t="s">
        <v>4</v>
      </c>
      <c r="E4" s="53" t="s">
        <v>123</v>
      </c>
    </row>
    <row r="5" spans="1:5" ht="22.5" x14ac:dyDescent="0.25">
      <c r="A5" s="52" t="s">
        <v>91</v>
      </c>
      <c r="B5" s="66" t="s">
        <v>54</v>
      </c>
      <c r="C5" s="58">
        <f>46486621/1000000</f>
        <v>46.486621</v>
      </c>
      <c r="D5" s="54" t="s">
        <v>52</v>
      </c>
      <c r="E5" s="55" t="s">
        <v>259</v>
      </c>
    </row>
    <row r="6" spans="1:5" ht="28.9" customHeight="1" x14ac:dyDescent="0.25">
      <c r="A6" s="52" t="s">
        <v>41</v>
      </c>
      <c r="B6" s="66" t="s">
        <v>32</v>
      </c>
      <c r="C6" s="104">
        <v>3.8</v>
      </c>
      <c r="D6" s="56" t="s">
        <v>4</v>
      </c>
      <c r="E6" s="53" t="s">
        <v>123</v>
      </c>
    </row>
    <row r="7" spans="1:5" ht="25.9" customHeight="1" x14ac:dyDescent="0.25">
      <c r="A7" s="52" t="s">
        <v>42</v>
      </c>
      <c r="B7" s="66" t="s">
        <v>34</v>
      </c>
      <c r="C7" s="58">
        <v>7.9000000000000001E-2</v>
      </c>
      <c r="D7" s="56" t="s">
        <v>4</v>
      </c>
      <c r="E7" s="53" t="s">
        <v>123</v>
      </c>
    </row>
    <row r="8" spans="1:5" x14ac:dyDescent="0.25">
      <c r="A8" s="52" t="s">
        <v>35</v>
      </c>
      <c r="B8" s="66" t="s">
        <v>36</v>
      </c>
      <c r="C8" s="58">
        <v>6.0000000000000001E-3</v>
      </c>
      <c r="D8" s="56" t="s">
        <v>4</v>
      </c>
      <c r="E8" s="53" t="s">
        <v>123</v>
      </c>
    </row>
    <row r="9" spans="1:5" ht="22.5" x14ac:dyDescent="0.25">
      <c r="A9" s="56" t="s">
        <v>93</v>
      </c>
      <c r="B9" s="66" t="s">
        <v>69</v>
      </c>
      <c r="C9" s="58">
        <v>1E-3</v>
      </c>
      <c r="D9" s="56" t="s">
        <v>4</v>
      </c>
      <c r="E9" s="53" t="s">
        <v>123</v>
      </c>
    </row>
    <row r="10" spans="1:5" ht="41.45" customHeight="1" x14ac:dyDescent="0.25">
      <c r="A10" s="52" t="s">
        <v>92</v>
      </c>
      <c r="B10" s="66" t="s">
        <v>63</v>
      </c>
      <c r="C10" s="60">
        <f>1078.98904285291*1000</f>
        <v>1078989.04285291</v>
      </c>
      <c r="D10" s="56" t="s">
        <v>64</v>
      </c>
      <c r="E10" s="53" t="s">
        <v>258</v>
      </c>
    </row>
    <row r="11" spans="1:5" ht="22.5" x14ac:dyDescent="0.25">
      <c r="A11" s="52" t="s">
        <v>81</v>
      </c>
      <c r="B11" s="66" t="s">
        <v>80</v>
      </c>
      <c r="C11" s="61">
        <v>530</v>
      </c>
      <c r="D11" s="56" t="s">
        <v>247</v>
      </c>
      <c r="E11" s="53" t="s">
        <v>123</v>
      </c>
    </row>
    <row r="12" spans="1:5" x14ac:dyDescent="0.25">
      <c r="A12" s="52" t="s">
        <v>8</v>
      </c>
      <c r="B12" s="66" t="s">
        <v>28</v>
      </c>
      <c r="C12" s="59">
        <f>44/12</f>
        <v>3.6666666666666665</v>
      </c>
      <c r="D12" s="52" t="s">
        <v>4</v>
      </c>
      <c r="E12" s="53" t="s">
        <v>27</v>
      </c>
    </row>
    <row r="13" spans="1:5" ht="45" x14ac:dyDescent="0.25">
      <c r="A13" s="56" t="s">
        <v>255</v>
      </c>
      <c r="B13" s="66" t="s">
        <v>29</v>
      </c>
      <c r="C13" s="62">
        <v>1.8E-3</v>
      </c>
      <c r="D13" s="56" t="s">
        <v>254</v>
      </c>
      <c r="E13" s="53" t="s">
        <v>253</v>
      </c>
    </row>
    <row r="14" spans="1:5" x14ac:dyDescent="0.25">
      <c r="A14" s="52" t="s">
        <v>243</v>
      </c>
      <c r="B14" s="66" t="s">
        <v>219</v>
      </c>
      <c r="C14" s="63">
        <v>20.46</v>
      </c>
      <c r="D14" s="52" t="s">
        <v>4</v>
      </c>
      <c r="E14" s="56" t="s">
        <v>257</v>
      </c>
    </row>
    <row r="15" spans="1:5" x14ac:dyDescent="0.25">
      <c r="A15" s="52" t="s">
        <v>244</v>
      </c>
      <c r="B15" s="66" t="s">
        <v>220</v>
      </c>
      <c r="C15" s="60">
        <v>2</v>
      </c>
      <c r="D15" s="52" t="s">
        <v>4</v>
      </c>
      <c r="E15" s="56" t="s">
        <v>257</v>
      </c>
    </row>
    <row r="16" spans="1:5" x14ac:dyDescent="0.25">
      <c r="A16" s="52" t="s">
        <v>245</v>
      </c>
      <c r="B16" s="66" t="s">
        <v>221</v>
      </c>
      <c r="C16" s="60">
        <v>6081</v>
      </c>
      <c r="D16" s="52" t="s">
        <v>4</v>
      </c>
      <c r="E16" s="56" t="s">
        <v>257</v>
      </c>
    </row>
    <row r="17" spans="1:6" x14ac:dyDescent="0.25">
      <c r="A17" s="52" t="s">
        <v>246</v>
      </c>
      <c r="B17" s="66" t="s">
        <v>222</v>
      </c>
      <c r="C17" s="60">
        <v>6754</v>
      </c>
      <c r="D17" s="52" t="s">
        <v>4</v>
      </c>
      <c r="E17" s="56" t="s">
        <v>257</v>
      </c>
    </row>
    <row r="18" spans="1:6" ht="22.5" x14ac:dyDescent="0.25">
      <c r="A18" s="52" t="s">
        <v>5</v>
      </c>
      <c r="B18" s="81" t="s">
        <v>6</v>
      </c>
      <c r="C18" s="63">
        <v>0.12</v>
      </c>
      <c r="D18" s="52" t="s">
        <v>12</v>
      </c>
      <c r="E18" s="53" t="s">
        <v>256</v>
      </c>
    </row>
    <row r="19" spans="1:6" x14ac:dyDescent="0.25">
      <c r="A19" s="52" t="s">
        <v>241</v>
      </c>
      <c r="B19" s="66" t="s">
        <v>242</v>
      </c>
      <c r="C19" s="64">
        <v>0.1</v>
      </c>
      <c r="D19" s="56" t="s">
        <v>4</v>
      </c>
      <c r="E19" s="53" t="s">
        <v>123</v>
      </c>
    </row>
    <row r="20" spans="1:6" ht="30.75" customHeight="1" x14ac:dyDescent="0.25">
      <c r="A20" s="66" t="s">
        <v>131</v>
      </c>
      <c r="B20" s="66" t="s">
        <v>132</v>
      </c>
      <c r="C20" s="67">
        <v>1E-3</v>
      </c>
      <c r="D20" s="68" t="s">
        <v>4</v>
      </c>
      <c r="E20" s="69" t="s">
        <v>260</v>
      </c>
      <c r="F20" s="65"/>
    </row>
    <row r="21" spans="1:6" ht="67.150000000000006" customHeight="1" x14ac:dyDescent="0.25">
      <c r="A21" s="52" t="s">
        <v>37</v>
      </c>
      <c r="B21" s="66" t="s">
        <v>38</v>
      </c>
      <c r="C21" s="64">
        <v>0.4</v>
      </c>
      <c r="D21" s="56" t="s">
        <v>4</v>
      </c>
      <c r="E21" s="56" t="s">
        <v>261</v>
      </c>
    </row>
    <row r="22" spans="1:6" ht="78.75" customHeight="1" x14ac:dyDescent="0.25">
      <c r="A22" s="52" t="s">
        <v>66</v>
      </c>
      <c r="B22" s="66" t="s">
        <v>67</v>
      </c>
      <c r="C22" s="58">
        <v>1.4999999999999999E-2</v>
      </c>
      <c r="D22" s="56" t="s">
        <v>4</v>
      </c>
      <c r="E22" s="53" t="s">
        <v>262</v>
      </c>
    </row>
    <row r="23" spans="1:6" ht="144.75" customHeight="1" x14ac:dyDescent="0.25">
      <c r="A23" s="56" t="s">
        <v>77</v>
      </c>
      <c r="B23" s="66" t="s">
        <v>76</v>
      </c>
      <c r="C23" s="60">
        <v>1</v>
      </c>
      <c r="D23" s="56" t="s">
        <v>4</v>
      </c>
      <c r="E23" s="53" t="s">
        <v>263</v>
      </c>
    </row>
    <row r="24" spans="1:6" ht="51" customHeight="1" x14ac:dyDescent="0.25">
      <c r="A24" s="56" t="s">
        <v>143</v>
      </c>
      <c r="B24" s="68" t="s">
        <v>144</v>
      </c>
      <c r="C24" s="120">
        <v>0.94210000000000005</v>
      </c>
      <c r="D24" s="56" t="s">
        <v>280</v>
      </c>
      <c r="E24" s="56" t="s">
        <v>326</v>
      </c>
    </row>
    <row r="25" spans="1:6" ht="51" customHeight="1" x14ac:dyDescent="0.25">
      <c r="A25" s="56" t="s">
        <v>278</v>
      </c>
      <c r="B25" s="68" t="s">
        <v>144</v>
      </c>
      <c r="C25" s="120">
        <v>1.0615000000000001</v>
      </c>
      <c r="D25" s="56" t="s">
        <v>279</v>
      </c>
      <c r="E25" s="56" t="s">
        <v>326</v>
      </c>
    </row>
    <row r="26" spans="1:6" ht="78.75" customHeight="1" x14ac:dyDescent="0.25">
      <c r="A26" s="56" t="s">
        <v>323</v>
      </c>
      <c r="B26" s="56" t="s">
        <v>144</v>
      </c>
      <c r="C26" s="141">
        <f>2.4*C25</f>
        <v>2.5476000000000001</v>
      </c>
      <c r="D26" s="56" t="s">
        <v>324</v>
      </c>
      <c r="E26" s="56" t="s">
        <v>325</v>
      </c>
    </row>
    <row r="27" spans="1:6" ht="20.45" customHeight="1" x14ac:dyDescent="0.25"/>
    <row r="28" spans="1:6" ht="18.75" x14ac:dyDescent="0.3">
      <c r="A28" s="31" t="s">
        <v>72</v>
      </c>
    </row>
    <row r="29" spans="1:6" x14ac:dyDescent="0.25">
      <c r="A29" s="15" t="s">
        <v>3</v>
      </c>
      <c r="B29" s="15" t="s">
        <v>1</v>
      </c>
      <c r="C29" s="15" t="s">
        <v>2</v>
      </c>
      <c r="D29" s="15" t="s">
        <v>7</v>
      </c>
      <c r="E29" s="15" t="s">
        <v>22</v>
      </c>
    </row>
    <row r="30" spans="1:6" x14ac:dyDescent="0.25">
      <c r="A30" s="56" t="s">
        <v>120</v>
      </c>
      <c r="B30" s="68" t="s">
        <v>124</v>
      </c>
      <c r="C30" s="63">
        <v>0.06</v>
      </c>
      <c r="D30" s="56" t="s">
        <v>4</v>
      </c>
      <c r="E30" s="56" t="s">
        <v>264</v>
      </c>
    </row>
    <row r="31" spans="1:6" x14ac:dyDescent="0.25">
      <c r="A31" s="56" t="s">
        <v>139</v>
      </c>
      <c r="B31" s="68" t="s">
        <v>140</v>
      </c>
      <c r="C31" s="64">
        <v>2.8</v>
      </c>
      <c r="D31" s="56" t="s">
        <v>4</v>
      </c>
      <c r="E31" s="56" t="s">
        <v>123</v>
      </c>
    </row>
    <row r="34" spans="1:17" ht="18.75" x14ac:dyDescent="0.3">
      <c r="A34" s="31" t="s">
        <v>71</v>
      </c>
    </row>
    <row r="35" spans="1:17" ht="18.75" x14ac:dyDescent="0.3">
      <c r="A35" s="31" t="s">
        <v>145</v>
      </c>
    </row>
    <row r="36" spans="1:17" ht="68.25" customHeight="1" x14ac:dyDescent="0.25">
      <c r="A36" s="18"/>
      <c r="B36" s="77" t="s">
        <v>95</v>
      </c>
      <c r="C36" s="42" t="s">
        <v>108</v>
      </c>
      <c r="D36" s="18" t="s">
        <v>108</v>
      </c>
      <c r="E36" s="18" t="s">
        <v>108</v>
      </c>
      <c r="F36" s="18" t="s">
        <v>108</v>
      </c>
      <c r="G36" s="40" t="s">
        <v>108</v>
      </c>
      <c r="H36" s="144" t="s">
        <v>196</v>
      </c>
      <c r="I36" s="145"/>
      <c r="J36" s="145"/>
      <c r="K36" s="146"/>
      <c r="L36" s="147" t="s">
        <v>205</v>
      </c>
      <c r="M36" s="148"/>
      <c r="N36" s="148"/>
      <c r="O36" s="149"/>
    </row>
    <row r="37" spans="1:17" ht="36.75" x14ac:dyDescent="0.25">
      <c r="A37" s="10" t="s">
        <v>0</v>
      </c>
      <c r="B37" s="11" t="s">
        <v>109</v>
      </c>
      <c r="C37" s="43" t="s">
        <v>154</v>
      </c>
      <c r="D37" s="11" t="s">
        <v>110</v>
      </c>
      <c r="E37" s="11" t="s">
        <v>111</v>
      </c>
      <c r="F37" s="11" t="s">
        <v>112</v>
      </c>
      <c r="G37" s="11" t="s">
        <v>114</v>
      </c>
      <c r="H37" s="48" t="s">
        <v>110</v>
      </c>
      <c r="I37" s="11" t="s">
        <v>111</v>
      </c>
      <c r="J37" s="11" t="s">
        <v>112</v>
      </c>
      <c r="K37" s="11" t="s">
        <v>113</v>
      </c>
      <c r="L37" s="48" t="s">
        <v>193</v>
      </c>
      <c r="M37" s="11" t="s">
        <v>156</v>
      </c>
      <c r="N37" s="11" t="s">
        <v>157</v>
      </c>
      <c r="O37" s="11" t="s">
        <v>158</v>
      </c>
      <c r="P37" s="109" t="s">
        <v>236</v>
      </c>
    </row>
    <row r="38" spans="1:17" x14ac:dyDescent="0.25">
      <c r="A38" s="10" t="s">
        <v>9</v>
      </c>
      <c r="B38" s="10" t="s">
        <v>103</v>
      </c>
      <c r="C38" s="44" t="s">
        <v>103</v>
      </c>
      <c r="D38" s="11" t="s">
        <v>84</v>
      </c>
      <c r="E38" s="11" t="s">
        <v>85</v>
      </c>
      <c r="F38" s="11" t="s">
        <v>86</v>
      </c>
      <c r="G38" s="11" t="s">
        <v>106</v>
      </c>
      <c r="H38" s="43" t="s">
        <v>84</v>
      </c>
      <c r="I38" s="11" t="s">
        <v>85</v>
      </c>
      <c r="J38" s="11" t="s">
        <v>86</v>
      </c>
      <c r="K38" s="11" t="s">
        <v>106</v>
      </c>
      <c r="L38" s="43" t="s">
        <v>84</v>
      </c>
      <c r="M38" s="11" t="s">
        <v>85</v>
      </c>
      <c r="N38" s="11" t="s">
        <v>86</v>
      </c>
      <c r="O38" s="11" t="s">
        <v>106</v>
      </c>
      <c r="P38" s="11" t="s">
        <v>235</v>
      </c>
    </row>
    <row r="39" spans="1:17" ht="14.45" customHeight="1" x14ac:dyDescent="0.25">
      <c r="A39" s="38">
        <v>2010</v>
      </c>
      <c r="B39" s="14">
        <v>298320</v>
      </c>
      <c r="C39" s="46">
        <v>26778</v>
      </c>
      <c r="D39" s="35">
        <v>821</v>
      </c>
      <c r="E39" s="35">
        <v>1592</v>
      </c>
      <c r="F39" s="35">
        <v>2698</v>
      </c>
      <c r="G39" s="47">
        <v>16382</v>
      </c>
      <c r="H39" s="49">
        <f>D39/$C39</f>
        <v>3.0659496601687954E-2</v>
      </c>
      <c r="I39" s="51">
        <f>E39/$C39</f>
        <v>5.9451788781835838E-2</v>
      </c>
      <c r="J39" s="51">
        <f t="shared" ref="J39:K39" si="0">F39/$C39</f>
        <v>0.10075435058630219</v>
      </c>
      <c r="K39" s="50">
        <f t="shared" si="0"/>
        <v>0.6117708566733886</v>
      </c>
      <c r="L39" s="102">
        <f>H39*$B39</f>
        <v>9146.3410262155503</v>
      </c>
      <c r="M39" s="103">
        <f t="shared" ref="M39:O39" si="1">I39*$B39</f>
        <v>17735.657629397268</v>
      </c>
      <c r="N39" s="103">
        <f t="shared" si="1"/>
        <v>30057.03786690567</v>
      </c>
      <c r="O39" s="103">
        <f t="shared" si="1"/>
        <v>182503.48196280529</v>
      </c>
      <c r="P39" s="111">
        <f>(L39+M39)*1000</f>
        <v>26881998.655612819</v>
      </c>
      <c r="Q39" s="110"/>
    </row>
    <row r="40" spans="1:17" x14ac:dyDescent="0.25">
      <c r="A40" s="38">
        <v>2015</v>
      </c>
      <c r="B40" s="14">
        <v>278833.08008360304</v>
      </c>
      <c r="C40" s="46">
        <v>26778</v>
      </c>
      <c r="D40" s="35">
        <v>821</v>
      </c>
      <c r="E40" s="35">
        <v>1592</v>
      </c>
      <c r="F40" s="35">
        <v>2698</v>
      </c>
      <c r="G40" s="47">
        <v>16382</v>
      </c>
      <c r="H40" s="49">
        <f t="shared" ref="H40:H46" si="2">D40/$C40</f>
        <v>3.0659496601687954E-2</v>
      </c>
      <c r="I40" s="51">
        <f t="shared" ref="I40:I46" si="3">E40/$C40</f>
        <v>5.9451788781835838E-2</v>
      </c>
      <c r="J40" s="51">
        <f t="shared" ref="J40:J46" si="4">F40/$C40</f>
        <v>0.10075435058630219</v>
      </c>
      <c r="K40" s="50">
        <f t="shared" ref="K40:K46" si="5">G40/$C40</f>
        <v>0.6117708566733886</v>
      </c>
      <c r="L40" s="102">
        <f t="shared" ref="L40:L47" si="6">H40*$B40</f>
        <v>8548.881871261412</v>
      </c>
      <c r="M40" s="103">
        <f t="shared" ref="M40:M47" si="7">I40*$B40</f>
        <v>16577.125382519083</v>
      </c>
      <c r="N40" s="103">
        <f t="shared" ref="N40:N47" si="8">J40*$B40</f>
        <v>28093.645905801815</v>
      </c>
      <c r="O40" s="103">
        <f t="shared" ref="O40:O46" si="9">K40*$B40</f>
        <v>170581.9522716254</v>
      </c>
      <c r="P40" s="111">
        <f t="shared" ref="P40:P47" si="10">(L40+M40)*1000</f>
        <v>25126007.253780495</v>
      </c>
      <c r="Q40" s="110"/>
    </row>
    <row r="41" spans="1:17" x14ac:dyDescent="0.25">
      <c r="A41" s="38">
        <v>2020</v>
      </c>
      <c r="B41" s="14">
        <v>246442.63548741434</v>
      </c>
      <c r="C41" s="45">
        <v>26778</v>
      </c>
      <c r="D41" s="14">
        <v>821</v>
      </c>
      <c r="E41" s="14">
        <v>1592</v>
      </c>
      <c r="F41" s="14">
        <v>2698</v>
      </c>
      <c r="G41" s="41">
        <v>16382</v>
      </c>
      <c r="H41" s="49">
        <f t="shared" si="2"/>
        <v>3.0659496601687954E-2</v>
      </c>
      <c r="I41" s="51">
        <f t="shared" si="3"/>
        <v>5.9451788781835838E-2</v>
      </c>
      <c r="J41" s="51">
        <f t="shared" si="4"/>
        <v>0.10075435058630219</v>
      </c>
      <c r="K41" s="50">
        <f t="shared" si="5"/>
        <v>0.6117708566733886</v>
      </c>
      <c r="L41" s="102">
        <f t="shared" si="6"/>
        <v>7555.8071452374033</v>
      </c>
      <c r="M41" s="103">
        <f t="shared" si="7"/>
        <v>14651.455511836719</v>
      </c>
      <c r="N41" s="103">
        <f t="shared" si="8"/>
        <v>24830.167695311222</v>
      </c>
      <c r="O41" s="103">
        <f t="shared" si="9"/>
        <v>150766.42223298311</v>
      </c>
      <c r="P41" s="111">
        <f t="shared" si="10"/>
        <v>22207262.657074124</v>
      </c>
      <c r="Q41" s="110"/>
    </row>
    <row r="42" spans="1:17" x14ac:dyDescent="0.25">
      <c r="A42" s="38">
        <v>2025</v>
      </c>
      <c r="B42" s="14">
        <v>279822.38450184994</v>
      </c>
      <c r="C42" s="46">
        <v>37316</v>
      </c>
      <c r="D42" s="35">
        <v>6970</v>
      </c>
      <c r="E42" s="35">
        <v>8008</v>
      </c>
      <c r="F42" s="35">
        <v>3777</v>
      </c>
      <c r="G42" s="47">
        <v>9358</v>
      </c>
      <c r="H42" s="49">
        <f t="shared" si="2"/>
        <v>0.18678314931932682</v>
      </c>
      <c r="I42" s="51">
        <f t="shared" si="3"/>
        <v>0.2145996355450745</v>
      </c>
      <c r="J42" s="51">
        <f t="shared" si="4"/>
        <v>0.10121663629542288</v>
      </c>
      <c r="K42" s="50">
        <f t="shared" si="5"/>
        <v>0.25077714653231858</v>
      </c>
      <c r="L42" s="102">
        <f>H42*$B42</f>
        <v>52266.106227299118</v>
      </c>
      <c r="M42" s="103">
        <f t="shared" si="7"/>
        <v>60049.781731450697</v>
      </c>
      <c r="N42" s="103">
        <f>J42*$B42</f>
        <v>28322.680519441721</v>
      </c>
      <c r="O42" s="103">
        <f t="shared" si="9"/>
        <v>70173.059121243219</v>
      </c>
      <c r="P42" s="111">
        <f t="shared" si="10"/>
        <v>112315887.95874982</v>
      </c>
      <c r="Q42" s="110"/>
    </row>
    <row r="43" spans="1:17" x14ac:dyDescent="0.25">
      <c r="A43" s="38">
        <v>2030</v>
      </c>
      <c r="B43" s="14">
        <v>296470.27009389986</v>
      </c>
      <c r="C43" s="45">
        <v>37316</v>
      </c>
      <c r="D43" s="14">
        <v>6970</v>
      </c>
      <c r="E43" s="14">
        <v>8008</v>
      </c>
      <c r="F43" s="14">
        <v>3777</v>
      </c>
      <c r="G43" s="41">
        <v>9358</v>
      </c>
      <c r="H43" s="49">
        <f t="shared" si="2"/>
        <v>0.18678314931932682</v>
      </c>
      <c r="I43" s="51">
        <f t="shared" si="3"/>
        <v>0.2145996355450745</v>
      </c>
      <c r="J43" s="51">
        <f t="shared" si="4"/>
        <v>0.10121663629542288</v>
      </c>
      <c r="K43" s="50">
        <f t="shared" si="5"/>
        <v>0.25077714653231858</v>
      </c>
      <c r="L43" s="102">
        <f t="shared" si="6"/>
        <v>55375.650727690052</v>
      </c>
      <c r="M43" s="103">
        <f t="shared" si="7"/>
        <v>63622.41191210071</v>
      </c>
      <c r="N43" s="103">
        <f t="shared" si="8"/>
        <v>30007.723500500048</v>
      </c>
      <c r="O43" s="103">
        <f t="shared" si="9"/>
        <v>74347.968365813998</v>
      </c>
      <c r="P43" s="111">
        <f t="shared" si="10"/>
        <v>118998062.63979076</v>
      </c>
      <c r="Q43" s="101"/>
    </row>
    <row r="44" spans="1:17" x14ac:dyDescent="0.25">
      <c r="A44" s="38">
        <v>2035</v>
      </c>
      <c r="B44" s="14">
        <v>307565.65652286325</v>
      </c>
      <c r="C44" s="46">
        <v>56553</v>
      </c>
      <c r="D44" s="35">
        <v>17031</v>
      </c>
      <c r="E44" s="35">
        <v>18787</v>
      </c>
      <c r="F44" s="35">
        <v>4855</v>
      </c>
      <c r="G44" s="47">
        <v>632</v>
      </c>
      <c r="H44" s="49">
        <f t="shared" si="2"/>
        <v>0.30115113256591164</v>
      </c>
      <c r="I44" s="51">
        <f>E44/$C44</f>
        <v>0.33220165154810533</v>
      </c>
      <c r="J44" s="51">
        <f t="shared" si="4"/>
        <v>8.5848672926281538E-2</v>
      </c>
      <c r="K44" s="50">
        <f t="shared" si="5"/>
        <v>1.1175357629126659E-2</v>
      </c>
      <c r="L44" s="102">
        <f t="shared" si="6"/>
        <v>92623.745800238437</v>
      </c>
      <c r="M44" s="103">
        <f t="shared" si="7"/>
        <v>102173.81905637246</v>
      </c>
      <c r="N44" s="103">
        <f t="shared" si="8"/>
        <v>26404.103450188337</v>
      </c>
      <c r="O44" s="103">
        <f t="shared" si="9"/>
        <v>3437.1562060801293</v>
      </c>
      <c r="P44" s="111">
        <f t="shared" si="10"/>
        <v>194797564.85661089</v>
      </c>
      <c r="Q44" s="101"/>
    </row>
    <row r="45" spans="1:17" x14ac:dyDescent="0.25">
      <c r="A45" s="38">
        <v>2040</v>
      </c>
      <c r="B45" s="14">
        <v>319630.60689371044</v>
      </c>
      <c r="C45" s="45">
        <v>56553</v>
      </c>
      <c r="D45" s="14">
        <v>17031</v>
      </c>
      <c r="E45" s="14">
        <v>18787</v>
      </c>
      <c r="F45" s="14">
        <v>4855</v>
      </c>
      <c r="G45" s="41">
        <v>632</v>
      </c>
      <c r="H45" s="49">
        <f t="shared" si="2"/>
        <v>0.30115113256591164</v>
      </c>
      <c r="I45" s="51">
        <f>E45/$C45</f>
        <v>0.33220165154810533</v>
      </c>
      <c r="J45" s="51">
        <f t="shared" si="4"/>
        <v>8.5848672926281538E-2</v>
      </c>
      <c r="K45" s="50">
        <f t="shared" si="5"/>
        <v>1.1175357629126659E-2</v>
      </c>
      <c r="L45" s="102">
        <f t="shared" si="6"/>
        <v>96257.119268770577</v>
      </c>
      <c r="M45" s="103">
        <f t="shared" si="7"/>
        <v>106181.81549541383</v>
      </c>
      <c r="N45" s="103">
        <f t="shared" si="8"/>
        <v>27439.863428447017</v>
      </c>
      <c r="O45" s="103">
        <f t="shared" si="9"/>
        <v>3571.9863412520112</v>
      </c>
      <c r="P45" s="111">
        <f t="shared" si="10"/>
        <v>202438934.76418442</v>
      </c>
      <c r="Q45" s="101"/>
    </row>
    <row r="46" spans="1:17" x14ac:dyDescent="0.25">
      <c r="A46" s="38">
        <v>2045</v>
      </c>
      <c r="B46" s="14">
        <v>326774.60104235506</v>
      </c>
      <c r="C46" s="46">
        <v>71164</v>
      </c>
      <c r="D46" s="35">
        <v>23469</v>
      </c>
      <c r="E46" s="35">
        <v>24785</v>
      </c>
      <c r="F46" s="35">
        <v>5497</v>
      </c>
      <c r="G46" s="47">
        <v>259</v>
      </c>
      <c r="H46" s="49">
        <f t="shared" si="2"/>
        <v>0.32978753302231467</v>
      </c>
      <c r="I46" s="51">
        <f t="shared" si="3"/>
        <v>0.34828002922826146</v>
      </c>
      <c r="J46" s="51">
        <f t="shared" si="4"/>
        <v>7.7244112191557524E-2</v>
      </c>
      <c r="K46" s="50">
        <f t="shared" si="5"/>
        <v>3.6394806362767692E-3</v>
      </c>
      <c r="L46" s="102">
        <f t="shared" si="6"/>
        <v>107766.18953210938</v>
      </c>
      <c r="M46" s="103">
        <f t="shared" si="7"/>
        <v>113809.06760208489</v>
      </c>
      <c r="N46" s="103">
        <f t="shared" si="8"/>
        <v>25241.413944267126</v>
      </c>
      <c r="O46" s="103">
        <f t="shared" si="9"/>
        <v>1189.2898329207178</v>
      </c>
      <c r="P46" s="111">
        <f t="shared" si="10"/>
        <v>221575257.13419425</v>
      </c>
      <c r="Q46" s="101"/>
    </row>
    <row r="47" spans="1:17" x14ac:dyDescent="0.25">
      <c r="A47" s="38">
        <v>2050</v>
      </c>
      <c r="B47" s="14">
        <v>334816.96808029286</v>
      </c>
      <c r="C47" s="45">
        <v>71164</v>
      </c>
      <c r="D47" s="14">
        <v>23469</v>
      </c>
      <c r="E47" s="14">
        <v>24785</v>
      </c>
      <c r="F47" s="14">
        <v>5497</v>
      </c>
      <c r="G47" s="41">
        <v>259</v>
      </c>
      <c r="H47" s="49">
        <f>D47/$C47</f>
        <v>0.32978753302231467</v>
      </c>
      <c r="I47" s="51">
        <f t="shared" ref="I47:K47" si="11">E47/$C47</f>
        <v>0.34828002922826146</v>
      </c>
      <c r="J47" s="51">
        <f t="shared" si="11"/>
        <v>7.7244112191557524E-2</v>
      </c>
      <c r="K47" s="50">
        <f t="shared" si="11"/>
        <v>3.6394806362767692E-3</v>
      </c>
      <c r="L47" s="102">
        <f t="shared" si="6"/>
        <v>110418.46191721087</v>
      </c>
      <c r="M47" s="103">
        <f t="shared" si="7"/>
        <v>116610.06342912228</v>
      </c>
      <c r="N47" s="103">
        <f t="shared" si="8"/>
        <v>25862.639446031277</v>
      </c>
      <c r="O47" s="103">
        <f>K47*$B47</f>
        <v>1218.559872025123</v>
      </c>
      <c r="P47" s="111">
        <f t="shared" si="10"/>
        <v>227028525.34633315</v>
      </c>
      <c r="Q47" s="101"/>
    </row>
    <row r="48" spans="1:17" x14ac:dyDescent="0.25">
      <c r="A48" s="96"/>
      <c r="B48" s="97"/>
      <c r="C48" s="97"/>
      <c r="D48" s="97"/>
      <c r="E48" s="97"/>
      <c r="F48" s="97"/>
      <c r="G48" s="97"/>
      <c r="H48" s="98"/>
      <c r="I48" s="98"/>
      <c r="J48" s="98"/>
      <c r="K48" s="98"/>
      <c r="L48" s="99"/>
      <c r="M48" s="100"/>
      <c r="N48" s="100"/>
      <c r="O48" s="100"/>
    </row>
    <row r="49" spans="1:17" x14ac:dyDescent="0.25">
      <c r="E49"/>
    </row>
    <row r="50" spans="1:17" ht="18.75" x14ac:dyDescent="0.3">
      <c r="A50" s="31" t="s">
        <v>146</v>
      </c>
      <c r="E50"/>
      <c r="H50" s="71"/>
      <c r="I50" s="71"/>
      <c r="J50" s="71"/>
      <c r="K50" s="71"/>
      <c r="L50" s="71"/>
      <c r="M50" s="71"/>
      <c r="N50" s="71"/>
      <c r="O50" s="71"/>
    </row>
    <row r="51" spans="1:17" ht="82.15" customHeight="1" x14ac:dyDescent="0.25">
      <c r="A51" s="18"/>
      <c r="B51" s="77" t="s">
        <v>95</v>
      </c>
      <c r="C51" s="82" t="s">
        <v>148</v>
      </c>
      <c r="D51" s="77" t="s">
        <v>148</v>
      </c>
      <c r="E51" s="77" t="s">
        <v>148</v>
      </c>
      <c r="F51" s="77" t="s">
        <v>148</v>
      </c>
      <c r="G51" s="78" t="s">
        <v>148</v>
      </c>
      <c r="H51" s="150" t="s">
        <v>197</v>
      </c>
      <c r="I51" s="151"/>
      <c r="J51" s="151"/>
      <c r="K51" s="152"/>
      <c r="L51" s="147" t="s">
        <v>205</v>
      </c>
      <c r="M51" s="148"/>
      <c r="N51" s="148"/>
      <c r="O51" s="149"/>
    </row>
    <row r="52" spans="1:17" ht="84.75" x14ac:dyDescent="0.25">
      <c r="A52" s="10" t="s">
        <v>0</v>
      </c>
      <c r="B52" s="11" t="s">
        <v>109</v>
      </c>
      <c r="C52" s="43" t="s">
        <v>163</v>
      </c>
      <c r="D52" s="11" t="s">
        <v>164</v>
      </c>
      <c r="E52" s="11" t="s">
        <v>170</v>
      </c>
      <c r="F52" s="11" t="s">
        <v>162</v>
      </c>
      <c r="G52" s="11" t="s">
        <v>165</v>
      </c>
      <c r="H52" s="48" t="s">
        <v>164</v>
      </c>
      <c r="I52" s="11" t="s">
        <v>161</v>
      </c>
      <c r="J52" s="11" t="s">
        <v>162</v>
      </c>
      <c r="K52" s="11" t="s">
        <v>165</v>
      </c>
      <c r="L52" s="48" t="s">
        <v>155</v>
      </c>
      <c r="M52" s="11" t="s">
        <v>156</v>
      </c>
      <c r="N52" s="11" t="s">
        <v>157</v>
      </c>
      <c r="O52" s="11" t="s">
        <v>159</v>
      </c>
      <c r="P52" s="109" t="s">
        <v>236</v>
      </c>
    </row>
    <row r="53" spans="1:17" x14ac:dyDescent="0.25">
      <c r="A53" s="10" t="s">
        <v>9</v>
      </c>
      <c r="B53" s="10" t="s">
        <v>103</v>
      </c>
      <c r="C53" s="44" t="s">
        <v>149</v>
      </c>
      <c r="D53" s="11" t="s">
        <v>150</v>
      </c>
      <c r="E53" s="11" t="s">
        <v>151</v>
      </c>
      <c r="F53" s="11" t="s">
        <v>152</v>
      </c>
      <c r="G53" s="11" t="s">
        <v>153</v>
      </c>
      <c r="H53" s="83" t="s">
        <v>150</v>
      </c>
      <c r="I53" s="11" t="s">
        <v>151</v>
      </c>
      <c r="J53" s="11" t="s">
        <v>152</v>
      </c>
      <c r="K53" s="11" t="s">
        <v>153</v>
      </c>
      <c r="L53" s="83" t="s">
        <v>150</v>
      </c>
      <c r="M53" s="11" t="s">
        <v>151</v>
      </c>
      <c r="N53" s="11" t="s">
        <v>152</v>
      </c>
      <c r="O53" s="11" t="s">
        <v>153</v>
      </c>
      <c r="P53" s="11" t="s">
        <v>235</v>
      </c>
    </row>
    <row r="54" spans="1:17" x14ac:dyDescent="0.25">
      <c r="A54" s="38">
        <v>2010</v>
      </c>
      <c r="B54" s="14">
        <v>298320</v>
      </c>
      <c r="C54" s="45">
        <v>821393</v>
      </c>
      <c r="D54" s="14">
        <v>15307</v>
      </c>
      <c r="E54" s="14">
        <v>83905</v>
      </c>
      <c r="F54" s="14">
        <v>131393</v>
      </c>
      <c r="G54" s="41">
        <v>457927</v>
      </c>
      <c r="H54" s="49">
        <f>D54/$C54</f>
        <v>1.8635415690175103E-2</v>
      </c>
      <c r="I54" s="51">
        <f>E54/$C54</f>
        <v>0.10214964091488483</v>
      </c>
      <c r="J54" s="51">
        <f>F54/$C54</f>
        <v>0.15996362277253398</v>
      </c>
      <c r="K54" s="50">
        <f>G54/$C54</f>
        <v>0.55750049002122004</v>
      </c>
      <c r="L54" s="102">
        <f>H54*$B54</f>
        <v>5559.3172086930372</v>
      </c>
      <c r="M54" s="103">
        <f>I54*$B54</f>
        <v>30473.280877728444</v>
      </c>
      <c r="N54" s="103">
        <f t="shared" ref="N54:N56" si="12">J54*$B54</f>
        <v>47720.347945502341</v>
      </c>
      <c r="O54" s="103">
        <f t="shared" ref="O54:O61" si="13">K54*$B54</f>
        <v>166313.54618313035</v>
      </c>
      <c r="P54" s="111">
        <f>(L54+M54)*1000</f>
        <v>36032598.086421482</v>
      </c>
      <c r="Q54" s="110"/>
    </row>
    <row r="55" spans="1:17" x14ac:dyDescent="0.25">
      <c r="A55" s="38">
        <v>2015</v>
      </c>
      <c r="B55" s="14">
        <v>278833.08008360304</v>
      </c>
      <c r="C55" s="45">
        <v>925364</v>
      </c>
      <c r="D55" s="14">
        <v>27898</v>
      </c>
      <c r="E55" s="14">
        <v>144765</v>
      </c>
      <c r="F55" s="14">
        <v>125743</v>
      </c>
      <c r="G55" s="41">
        <v>469656</v>
      </c>
      <c r="H55" s="49">
        <f t="shared" ref="H55:H62" si="14">D55/$C55</f>
        <v>3.0148136300958327E-2</v>
      </c>
      <c r="I55" s="51">
        <f t="shared" ref="I55:I58" si="15">E55/$C55</f>
        <v>0.15644114099964987</v>
      </c>
      <c r="J55" s="51">
        <f t="shared" ref="J55:J62" si="16">F55/$C55</f>
        <v>0.13588490583165111</v>
      </c>
      <c r="K55" s="50">
        <f t="shared" ref="K55:K62" si="17">G55/$C55</f>
        <v>0.50753649374732535</v>
      </c>
      <c r="L55" s="102">
        <f t="shared" ref="L55:L62" si="18">H55*$B55</f>
        <v>8406.2977035764925</v>
      </c>
      <c r="M55" s="103">
        <f t="shared" ref="M55:M62" si="19">I55*$B55</f>
        <v>43620.965196725607</v>
      </c>
      <c r="N55" s="103">
        <f t="shared" si="12"/>
        <v>37889.206829909628</v>
      </c>
      <c r="O55" s="103">
        <f t="shared" si="13"/>
        <v>141517.96380639906</v>
      </c>
      <c r="P55" s="111">
        <f t="shared" ref="P55:P62" si="20">(L55+M55)*1000</f>
        <v>52027262.900302097</v>
      </c>
      <c r="Q55" s="110"/>
    </row>
    <row r="56" spans="1:17" x14ac:dyDescent="0.25">
      <c r="A56" s="38">
        <v>2020</v>
      </c>
      <c r="B56" s="14">
        <v>246442.63548741434</v>
      </c>
      <c r="C56" s="45">
        <v>1028870</v>
      </c>
      <c r="D56" s="14">
        <v>57398</v>
      </c>
      <c r="E56" s="14">
        <v>247477</v>
      </c>
      <c r="F56" s="14">
        <v>124752</v>
      </c>
      <c r="G56" s="41">
        <v>420692</v>
      </c>
      <c r="H56" s="49">
        <f t="shared" si="14"/>
        <v>5.578741726359987E-2</v>
      </c>
      <c r="I56" s="51">
        <f t="shared" si="15"/>
        <v>0.24053281755712577</v>
      </c>
      <c r="J56" s="51">
        <f t="shared" si="16"/>
        <v>0.12125147005938554</v>
      </c>
      <c r="K56" s="50">
        <f t="shared" si="17"/>
        <v>0.40888742017942015</v>
      </c>
      <c r="L56" s="102">
        <f t="shared" si="18"/>
        <v>13748.398137477629</v>
      </c>
      <c r="M56" s="103">
        <f t="shared" si="19"/>
        <v>59277.541479991487</v>
      </c>
      <c r="N56" s="103">
        <f t="shared" si="12"/>
        <v>29881.531838158284</v>
      </c>
      <c r="O56" s="103">
        <f t="shared" si="13"/>
        <v>100767.29344666607</v>
      </c>
      <c r="P56" s="111">
        <f t="shared" si="20"/>
        <v>73025939.617469117</v>
      </c>
      <c r="Q56" s="110"/>
    </row>
    <row r="57" spans="1:17" x14ac:dyDescent="0.25">
      <c r="A57" s="38">
        <v>2025</v>
      </c>
      <c r="B57" s="14">
        <v>279822.38450184994</v>
      </c>
      <c r="C57" s="45">
        <v>1093152</v>
      </c>
      <c r="D57" s="14">
        <v>92099</v>
      </c>
      <c r="E57" s="14">
        <v>308743</v>
      </c>
      <c r="F57" s="14">
        <v>106542</v>
      </c>
      <c r="G57" s="41">
        <v>394435</v>
      </c>
      <c r="H57" s="49">
        <f t="shared" si="14"/>
        <v>8.425086355785838E-2</v>
      </c>
      <c r="I57" s="51">
        <f t="shared" si="15"/>
        <v>0.28243373291180002</v>
      </c>
      <c r="J57" s="51">
        <f t="shared" si="16"/>
        <v>9.7463115833845607E-2</v>
      </c>
      <c r="K57" s="50">
        <f t="shared" si="17"/>
        <v>0.36082356342027461</v>
      </c>
      <c r="L57" s="102">
        <f t="shared" si="18"/>
        <v>23575.277537099944</v>
      </c>
      <c r="M57" s="103">
        <f t="shared" si="19"/>
        <v>79031.280607138498</v>
      </c>
      <c r="N57" s="103">
        <f>J57*$B57</f>
        <v>27272.361473606685</v>
      </c>
      <c r="O57" s="103">
        <f t="shared" si="13"/>
        <v>100966.50990071571</v>
      </c>
      <c r="P57" s="111">
        <f t="shared" si="20"/>
        <v>102606558.14423844</v>
      </c>
      <c r="Q57" s="110"/>
    </row>
    <row r="58" spans="1:17" x14ac:dyDescent="0.25">
      <c r="A58" s="38">
        <v>2030</v>
      </c>
      <c r="B58" s="14">
        <v>296470.27009389986</v>
      </c>
      <c r="C58" s="45">
        <v>1323971</v>
      </c>
      <c r="D58" s="14">
        <v>195255</v>
      </c>
      <c r="E58" s="14">
        <v>469770</v>
      </c>
      <c r="F58" s="14">
        <v>89509</v>
      </c>
      <c r="G58" s="41">
        <v>364005</v>
      </c>
      <c r="H58" s="49">
        <f t="shared" si="14"/>
        <v>0.14747679518660151</v>
      </c>
      <c r="I58" s="51">
        <f t="shared" si="15"/>
        <v>0.35481894996189495</v>
      </c>
      <c r="J58" s="51">
        <f t="shared" si="16"/>
        <v>6.760646570053272E-2</v>
      </c>
      <c r="K58" s="50">
        <f t="shared" si="17"/>
        <v>0.27493426970832441</v>
      </c>
      <c r="L58" s="102">
        <f>H58*$B58</f>
        <v>43722.485301554501</v>
      </c>
      <c r="M58" s="103">
        <f>I58*$B58</f>
        <v>105193.26992963694</v>
      </c>
      <c r="N58" s="103">
        <f t="shared" ref="N58:N62" si="21">J58*$B58</f>
        <v>20043.307146330913</v>
      </c>
      <c r="O58" s="103">
        <f t="shared" si="13"/>
        <v>81509.837198496054</v>
      </c>
      <c r="P58" s="111">
        <f t="shared" si="20"/>
        <v>148915755.23119143</v>
      </c>
    </row>
    <row r="59" spans="1:17" x14ac:dyDescent="0.25">
      <c r="A59" s="38">
        <v>2035</v>
      </c>
      <c r="B59" s="14">
        <v>307565.65652286325</v>
      </c>
      <c r="C59" s="45">
        <v>1473174</v>
      </c>
      <c r="D59" s="14">
        <v>272546</v>
      </c>
      <c r="E59" s="14">
        <v>567394</v>
      </c>
      <c r="F59" s="14">
        <v>74531</v>
      </c>
      <c r="G59" s="41">
        <v>324337</v>
      </c>
      <c r="H59" s="49">
        <f t="shared" si="14"/>
        <v>0.18500598028474571</v>
      </c>
      <c r="I59" s="51">
        <f>E59/$C59</f>
        <v>0.38515070181797939</v>
      </c>
      <c r="J59" s="51">
        <f t="shared" si="16"/>
        <v>5.0592122858535378E-2</v>
      </c>
      <c r="K59" s="50">
        <f t="shared" si="17"/>
        <v>0.2201620446736095</v>
      </c>
      <c r="L59" s="102">
        <f t="shared" si="18"/>
        <v>56901.485786933714</v>
      </c>
      <c r="M59" s="103">
        <f t="shared" si="19"/>
        <v>118459.12846488837</v>
      </c>
      <c r="N59" s="103">
        <f t="shared" si="21"/>
        <v>15560.399481870791</v>
      </c>
      <c r="O59" s="103">
        <f t="shared" si="13"/>
        <v>67714.283811454661</v>
      </c>
      <c r="P59" s="111">
        <f t="shared" si="20"/>
        <v>175360614.25182208</v>
      </c>
    </row>
    <row r="60" spans="1:17" x14ac:dyDescent="0.25">
      <c r="A60" s="38">
        <v>2040</v>
      </c>
      <c r="B60" s="14">
        <v>319630.60689371044</v>
      </c>
      <c r="C60" s="45">
        <v>1763357</v>
      </c>
      <c r="D60" s="14">
        <v>385411</v>
      </c>
      <c r="E60" s="14">
        <v>734513</v>
      </c>
      <c r="F60" s="14">
        <v>70208</v>
      </c>
      <c r="G60" s="41">
        <v>298978</v>
      </c>
      <c r="H60" s="49">
        <f t="shared" si="14"/>
        <v>0.21856663171439475</v>
      </c>
      <c r="I60" s="51">
        <f>E60/$C60</f>
        <v>0.41654242447785672</v>
      </c>
      <c r="J60" s="51">
        <f t="shared" si="16"/>
        <v>3.98149665666113E-2</v>
      </c>
      <c r="K60" s="50">
        <f t="shared" si="17"/>
        <v>0.16955046539072915</v>
      </c>
      <c r="L60" s="102">
        <f t="shared" si="18"/>
        <v>69860.585141586096</v>
      </c>
      <c r="M60" s="103">
        <f t="shared" si="19"/>
        <v>133139.70793283489</v>
      </c>
      <c r="N60" s="103">
        <f t="shared" si="21"/>
        <v>12726.081927138761</v>
      </c>
      <c r="O60" s="103">
        <f t="shared" si="13"/>
        <v>54193.518151949807</v>
      </c>
      <c r="P60" s="111">
        <f t="shared" si="20"/>
        <v>203000293.07442099</v>
      </c>
    </row>
    <row r="61" spans="1:17" x14ac:dyDescent="0.25">
      <c r="A61" s="38">
        <v>2045</v>
      </c>
      <c r="B61" s="14">
        <v>326774.60104235506</v>
      </c>
      <c r="C61" s="45">
        <v>2002770</v>
      </c>
      <c r="D61" s="14">
        <v>491250</v>
      </c>
      <c r="E61" s="14">
        <v>865683</v>
      </c>
      <c r="F61" s="14">
        <v>59974</v>
      </c>
      <c r="G61" s="41">
        <v>281970</v>
      </c>
      <c r="H61" s="49">
        <f t="shared" si="14"/>
        <v>0.24528527988735602</v>
      </c>
      <c r="I61" s="51">
        <f t="shared" ref="I61:I62" si="22">E61/$C61</f>
        <v>0.43224284366152876</v>
      </c>
      <c r="J61" s="51">
        <f t="shared" si="16"/>
        <v>2.9945525447255553E-2</v>
      </c>
      <c r="K61" s="50">
        <f t="shared" si="17"/>
        <v>0.14079000584190896</v>
      </c>
      <c r="L61" s="102">
        <f t="shared" si="18"/>
        <v>80152.999476753161</v>
      </c>
      <c r="M61" s="103">
        <f t="shared" si="19"/>
        <v>141245.98279090913</v>
      </c>
      <c r="N61" s="103">
        <f t="shared" si="21"/>
        <v>9785.4371310306251</v>
      </c>
      <c r="O61" s="103">
        <f t="shared" si="13"/>
        <v>46006.597989740636</v>
      </c>
      <c r="P61" s="111">
        <f t="shared" si="20"/>
        <v>221398982.26766229</v>
      </c>
    </row>
    <row r="62" spans="1:17" x14ac:dyDescent="0.25">
      <c r="A62" s="38">
        <v>2050</v>
      </c>
      <c r="B62" s="14">
        <v>334816.96808029286</v>
      </c>
      <c r="C62" s="45">
        <v>2219028</v>
      </c>
      <c r="D62" s="14">
        <v>602883</v>
      </c>
      <c r="E62" s="14">
        <v>984455</v>
      </c>
      <c r="F62" s="14">
        <v>40649</v>
      </c>
      <c r="G62" s="41">
        <v>262730</v>
      </c>
      <c r="H62" s="49">
        <f t="shared" si="14"/>
        <v>0.27168787415030365</v>
      </c>
      <c r="I62" s="51">
        <f t="shared" si="22"/>
        <v>0.44364244164562144</v>
      </c>
      <c r="J62" s="51">
        <f t="shared" si="16"/>
        <v>1.8318380840620308E-2</v>
      </c>
      <c r="K62" s="50">
        <f t="shared" si="17"/>
        <v>0.11839868627164686</v>
      </c>
      <c r="L62" s="102">
        <f t="shared" si="18"/>
        <v>90965.710287184847</v>
      </c>
      <c r="M62" s="103">
        <f t="shared" si="19"/>
        <v>148539.01722352521</v>
      </c>
      <c r="N62" s="103">
        <f t="shared" si="21"/>
        <v>6133.3047331966181</v>
      </c>
      <c r="O62" s="103">
        <f>K62*$B62</f>
        <v>39641.889162162595</v>
      </c>
      <c r="P62" s="111">
        <f t="shared" si="20"/>
        <v>239504727.51071006</v>
      </c>
    </row>
    <row r="63" spans="1:17" x14ac:dyDescent="0.25">
      <c r="E63"/>
    </row>
    <row r="64" spans="1:17" x14ac:dyDescent="0.25">
      <c r="E64"/>
    </row>
    <row r="65" spans="1:17" ht="18.75" x14ac:dyDescent="0.3">
      <c r="A65" s="84" t="s">
        <v>147</v>
      </c>
      <c r="B65" s="80"/>
      <c r="E65"/>
      <c r="H65" s="71"/>
      <c r="I65" s="71"/>
      <c r="J65" s="71"/>
      <c r="K65" s="71"/>
      <c r="L65" s="71"/>
      <c r="M65" s="71"/>
      <c r="N65" s="71"/>
      <c r="O65" s="71"/>
    </row>
    <row r="66" spans="1:17" ht="84.6" customHeight="1" x14ac:dyDescent="0.25">
      <c r="A66" s="18"/>
      <c r="B66" s="77" t="s">
        <v>95</v>
      </c>
      <c r="C66" s="82" t="s">
        <v>160</v>
      </c>
      <c r="D66" s="77" t="s">
        <v>160</v>
      </c>
      <c r="E66" s="77" t="s">
        <v>160</v>
      </c>
      <c r="F66" s="77" t="s">
        <v>160</v>
      </c>
      <c r="G66" s="78" t="s">
        <v>160</v>
      </c>
      <c r="H66" s="150" t="s">
        <v>197</v>
      </c>
      <c r="I66" s="151"/>
      <c r="J66" s="151"/>
      <c r="K66" s="152"/>
      <c r="L66" s="147" t="s">
        <v>205</v>
      </c>
      <c r="M66" s="148"/>
      <c r="N66" s="148"/>
      <c r="O66" s="149"/>
    </row>
    <row r="67" spans="1:17" ht="83.25" x14ac:dyDescent="0.25">
      <c r="A67" s="10" t="s">
        <v>0</v>
      </c>
      <c r="B67" s="11" t="s">
        <v>109</v>
      </c>
      <c r="C67" s="43" t="s">
        <v>166</v>
      </c>
      <c r="D67" s="11" t="s">
        <v>167</v>
      </c>
      <c r="E67" s="11" t="s">
        <v>168</v>
      </c>
      <c r="F67" s="11" t="s">
        <v>169</v>
      </c>
      <c r="G67" s="11" t="s">
        <v>171</v>
      </c>
      <c r="H67" s="43" t="s">
        <v>167</v>
      </c>
      <c r="I67" s="11" t="s">
        <v>168</v>
      </c>
      <c r="J67" s="11" t="s">
        <v>169</v>
      </c>
      <c r="K67" s="11" t="s">
        <v>171</v>
      </c>
      <c r="L67" s="48" t="s">
        <v>155</v>
      </c>
      <c r="M67" s="11" t="s">
        <v>156</v>
      </c>
      <c r="N67" s="11" t="s">
        <v>157</v>
      </c>
      <c r="O67" s="85" t="s">
        <v>159</v>
      </c>
      <c r="P67" s="109" t="s">
        <v>236</v>
      </c>
    </row>
    <row r="68" spans="1:17" x14ac:dyDescent="0.25">
      <c r="A68" s="10" t="s">
        <v>9</v>
      </c>
      <c r="B68" s="10" t="s">
        <v>103</v>
      </c>
      <c r="C68" s="44" t="s">
        <v>172</v>
      </c>
      <c r="D68" s="11" t="s">
        <v>173</v>
      </c>
      <c r="E68" s="11" t="s">
        <v>174</v>
      </c>
      <c r="F68" s="11" t="s">
        <v>175</v>
      </c>
      <c r="G68" s="11" t="s">
        <v>176</v>
      </c>
      <c r="H68" s="83" t="s">
        <v>173</v>
      </c>
      <c r="I68" s="11" t="s">
        <v>174</v>
      </c>
      <c r="J68" s="11" t="s">
        <v>175</v>
      </c>
      <c r="K68" s="11" t="s">
        <v>176</v>
      </c>
      <c r="L68" s="83" t="s">
        <v>173</v>
      </c>
      <c r="M68" s="11" t="s">
        <v>174</v>
      </c>
      <c r="N68" s="11" t="s">
        <v>175</v>
      </c>
      <c r="O68" s="86" t="s">
        <v>176</v>
      </c>
      <c r="P68" s="11" t="s">
        <v>235</v>
      </c>
    </row>
    <row r="69" spans="1:17" ht="14.45" customHeight="1" x14ac:dyDescent="0.25">
      <c r="A69" s="38">
        <v>2010</v>
      </c>
      <c r="B69" s="14">
        <v>298320</v>
      </c>
      <c r="C69" s="45">
        <v>821498</v>
      </c>
      <c r="D69" s="14">
        <v>15307</v>
      </c>
      <c r="E69" s="14">
        <v>83905</v>
      </c>
      <c r="F69" s="14">
        <v>131393</v>
      </c>
      <c r="G69" s="41">
        <v>458035</v>
      </c>
      <c r="H69" s="49">
        <f>D69/$C69</f>
        <v>1.8633033799230186E-2</v>
      </c>
      <c r="I69" s="51">
        <f>E69/$C69</f>
        <v>0.10213658462954261</v>
      </c>
      <c r="J69" s="51">
        <f t="shared" ref="J69:J77" si="23">F69/$C69</f>
        <v>0.1599431769766938</v>
      </c>
      <c r="K69" s="50">
        <f t="shared" ref="K69:K77" si="24">G69/$C69</f>
        <v>0.55756070008691438</v>
      </c>
      <c r="L69" s="102">
        <f>H69*$B69</f>
        <v>5558.6066429863486</v>
      </c>
      <c r="M69" s="103">
        <f t="shared" ref="M69:M72" si="25">I69*$B69</f>
        <v>30469.385926685154</v>
      </c>
      <c r="N69" s="103">
        <f t="shared" ref="N69:N71" si="26">J69*$B69</f>
        <v>47714.248555687293</v>
      </c>
      <c r="O69" s="103">
        <f t="shared" ref="O69:O76" si="27">K69*$B69</f>
        <v>166331.50804992829</v>
      </c>
      <c r="P69" s="111">
        <f>(L69+M69)*1000</f>
        <v>36027992.569671497</v>
      </c>
      <c r="Q69" s="110"/>
    </row>
    <row r="70" spans="1:17" x14ac:dyDescent="0.25">
      <c r="A70" s="38">
        <v>2015</v>
      </c>
      <c r="B70" s="14">
        <v>278833.08008360304</v>
      </c>
      <c r="C70" s="45">
        <v>926071</v>
      </c>
      <c r="D70" s="14">
        <v>28018</v>
      </c>
      <c r="E70" s="14">
        <v>143654</v>
      </c>
      <c r="F70" s="14">
        <v>125743</v>
      </c>
      <c r="G70" s="41">
        <v>471535</v>
      </c>
      <c r="H70" s="49">
        <f t="shared" ref="H70:H77" si="28">D70/$C70</f>
        <v>3.0254699693652E-2</v>
      </c>
      <c r="I70" s="51">
        <f t="shared" ref="I70:I73" si="29">E70/$C70</f>
        <v>0.15512201548261417</v>
      </c>
      <c r="J70" s="51">
        <f t="shared" si="23"/>
        <v>0.13578116580694136</v>
      </c>
      <c r="K70" s="50">
        <f t="shared" si="24"/>
        <v>0.50917802198751505</v>
      </c>
      <c r="L70" s="102">
        <f t="shared" ref="L70:L72" si="30">H70*$B70</f>
        <v>8436.0111025854276</v>
      </c>
      <c r="M70" s="103">
        <f t="shared" si="25"/>
        <v>43253.149365793666</v>
      </c>
      <c r="N70" s="103">
        <f t="shared" si="26"/>
        <v>37860.280679291864</v>
      </c>
      <c r="O70" s="103">
        <f t="shared" si="27"/>
        <v>141975.67618165538</v>
      </c>
      <c r="P70" s="111">
        <f t="shared" ref="P70:P77" si="31">(L70+M70)*1000</f>
        <v>51689160.468379095</v>
      </c>
      <c r="Q70" s="110"/>
    </row>
    <row r="71" spans="1:17" x14ac:dyDescent="0.25">
      <c r="A71" s="38">
        <v>2020</v>
      </c>
      <c r="B71" s="14">
        <v>246442.63548741434</v>
      </c>
      <c r="C71" s="45">
        <v>1028502</v>
      </c>
      <c r="D71" s="14">
        <v>56262</v>
      </c>
      <c r="E71" s="14">
        <v>246396</v>
      </c>
      <c r="F71" s="14">
        <v>123641</v>
      </c>
      <c r="G71" s="41">
        <v>422965</v>
      </c>
      <c r="H71" s="49">
        <f t="shared" si="28"/>
        <v>5.4702859109656568E-2</v>
      </c>
      <c r="I71" s="51">
        <f t="shared" si="29"/>
        <v>0.23956783749569763</v>
      </c>
      <c r="J71" s="51">
        <f t="shared" si="23"/>
        <v>0.12021464226613074</v>
      </c>
      <c r="K71" s="50">
        <f t="shared" si="24"/>
        <v>0.41124373117407648</v>
      </c>
      <c r="L71" s="102">
        <f t="shared" si="30"/>
        <v>13481.116767680476</v>
      </c>
      <c r="M71" s="103">
        <f t="shared" si="25"/>
        <v>59039.729250460325</v>
      </c>
      <c r="N71" s="103">
        <f t="shared" si="26"/>
        <v>29626.01326424197</v>
      </c>
      <c r="O71" s="103">
        <f t="shared" si="27"/>
        <v>101347.98893821714</v>
      </c>
      <c r="P71" s="111">
        <f t="shared" si="31"/>
        <v>72520846.018140808</v>
      </c>
      <c r="Q71" s="110"/>
    </row>
    <row r="72" spans="1:17" x14ac:dyDescent="0.25">
      <c r="A72" s="38">
        <v>2025</v>
      </c>
      <c r="B72" s="14">
        <v>279822.38450184994</v>
      </c>
      <c r="C72" s="45">
        <v>1075129</v>
      </c>
      <c r="D72" s="14">
        <v>81851</v>
      </c>
      <c r="E72" s="14">
        <v>303989</v>
      </c>
      <c r="F72" s="14">
        <v>96195</v>
      </c>
      <c r="G72" s="41">
        <v>400182</v>
      </c>
      <c r="H72" s="49">
        <f>D72/$C72</f>
        <v>7.6131329356756261E-2</v>
      </c>
      <c r="I72" s="51">
        <f t="shared" si="29"/>
        <v>0.28274653553201523</v>
      </c>
      <c r="J72" s="51">
        <f t="shared" si="23"/>
        <v>8.9472984172131897E-2</v>
      </c>
      <c r="K72" s="50">
        <f t="shared" si="24"/>
        <v>0.37221765946225988</v>
      </c>
      <c r="L72" s="102">
        <f t="shared" si="30"/>
        <v>21303.250115903225</v>
      </c>
      <c r="M72" s="103">
        <f t="shared" si="25"/>
        <v>79118.809782205542</v>
      </c>
      <c r="N72" s="103">
        <f>J72*$B72</f>
        <v>25036.543779542226</v>
      </c>
      <c r="O72" s="103">
        <f t="shared" si="27"/>
        <v>104154.83302442712</v>
      </c>
      <c r="P72" s="111">
        <f t="shared" si="31"/>
        <v>100422059.89810877</v>
      </c>
      <c r="Q72" s="110"/>
    </row>
    <row r="73" spans="1:17" x14ac:dyDescent="0.25">
      <c r="A73" s="38">
        <v>2030</v>
      </c>
      <c r="B73" s="14">
        <v>296470.27009389986</v>
      </c>
      <c r="C73" s="45">
        <v>1198871</v>
      </c>
      <c r="D73" s="14">
        <v>137038</v>
      </c>
      <c r="E73" s="14">
        <v>411622</v>
      </c>
      <c r="F73" s="14">
        <v>62110</v>
      </c>
      <c r="G73" s="41">
        <v>381232</v>
      </c>
      <c r="H73" s="49">
        <f t="shared" si="28"/>
        <v>0.11430587611177516</v>
      </c>
      <c r="I73" s="51">
        <f t="shared" si="29"/>
        <v>0.34334136032984364</v>
      </c>
      <c r="J73" s="51">
        <f t="shared" si="23"/>
        <v>5.1807075156543113E-2</v>
      </c>
      <c r="K73" s="50">
        <f t="shared" si="24"/>
        <v>0.31799251128770317</v>
      </c>
      <c r="L73" s="102">
        <f>H73*$B73</f>
        <v>33888.293964177836</v>
      </c>
      <c r="M73" s="103">
        <f>I73*$B73</f>
        <v>101790.50583139574</v>
      </c>
      <c r="N73" s="103">
        <f t="shared" ref="N73:N77" si="32">J73*$B73</f>
        <v>15359.257564435306</v>
      </c>
      <c r="O73" s="103">
        <f t="shared" si="27"/>
        <v>94275.325709302866</v>
      </c>
      <c r="P73" s="111">
        <f t="shared" si="31"/>
        <v>135678799.79557359</v>
      </c>
    </row>
    <row r="74" spans="1:17" x14ac:dyDescent="0.25">
      <c r="A74" s="38">
        <v>2035</v>
      </c>
      <c r="B74" s="14">
        <v>307565.65652286325</v>
      </c>
      <c r="C74" s="45">
        <v>1305721</v>
      </c>
      <c r="D74" s="14">
        <v>183893</v>
      </c>
      <c r="E74" s="14">
        <v>473458</v>
      </c>
      <c r="F74" s="14">
        <v>38502</v>
      </c>
      <c r="G74" s="41">
        <v>391454</v>
      </c>
      <c r="H74" s="49">
        <f t="shared" si="28"/>
        <v>0.14083636550227804</v>
      </c>
      <c r="I74" s="51">
        <f>E74/$C74</f>
        <v>0.36260273059865011</v>
      </c>
      <c r="J74" s="51">
        <f t="shared" si="23"/>
        <v>2.9487156904116577E-2</v>
      </c>
      <c r="K74" s="50">
        <f t="shared" si="24"/>
        <v>0.2997991148185562</v>
      </c>
      <c r="L74" s="102">
        <f t="shared" ref="L74:L77" si="33">H74*$B74</f>
        <v>43316.429218002078</v>
      </c>
      <c r="M74" s="103">
        <f t="shared" ref="M74:M77" si="34">I74*$B74</f>
        <v>111524.14689355674</v>
      </c>
      <c r="N74" s="103">
        <f t="shared" si="32"/>
        <v>9069.2367722072959</v>
      </c>
      <c r="O74" s="103">
        <f t="shared" si="27"/>
        <v>92207.911574142505</v>
      </c>
      <c r="P74" s="111">
        <f t="shared" si="31"/>
        <v>154840576.11155882</v>
      </c>
    </row>
    <row r="75" spans="1:17" x14ac:dyDescent="0.25">
      <c r="A75" s="38">
        <v>2040</v>
      </c>
      <c r="B75" s="14">
        <v>319630.60689371044</v>
      </c>
      <c r="C75" s="45">
        <v>1493474</v>
      </c>
      <c r="D75" s="14">
        <v>261900</v>
      </c>
      <c r="E75" s="14">
        <v>554340</v>
      </c>
      <c r="F75" s="14">
        <v>30675</v>
      </c>
      <c r="G75" s="41">
        <v>414212</v>
      </c>
      <c r="H75" s="49">
        <f t="shared" si="28"/>
        <v>0.17536294572252345</v>
      </c>
      <c r="I75" s="51">
        <f>E75/$C75</f>
        <v>0.37117485808256456</v>
      </c>
      <c r="J75" s="51">
        <f t="shared" si="23"/>
        <v>2.0539359908508619E-2</v>
      </c>
      <c r="K75" s="50">
        <f t="shared" si="24"/>
        <v>0.27734798195348564</v>
      </c>
      <c r="L75" s="102">
        <f t="shared" si="33"/>
        <v>56051.364767958978</v>
      </c>
      <c r="M75" s="103">
        <f t="shared" si="34"/>
        <v>118638.84515261695</v>
      </c>
      <c r="N75" s="103">
        <f t="shared" si="32"/>
        <v>6565.0080727649547</v>
      </c>
      <c r="O75" s="103">
        <f>K75*$B75</f>
        <v>88648.903792538462</v>
      </c>
      <c r="P75" s="111">
        <f t="shared" si="31"/>
        <v>174690209.92057592</v>
      </c>
    </row>
    <row r="76" spans="1:17" x14ac:dyDescent="0.25">
      <c r="A76" s="38">
        <v>2045</v>
      </c>
      <c r="B76" s="14">
        <v>326774.60104235506</v>
      </c>
      <c r="C76" s="45">
        <v>1630142</v>
      </c>
      <c r="D76" s="14">
        <v>323804</v>
      </c>
      <c r="E76" s="14">
        <v>612137</v>
      </c>
      <c r="F76" s="14">
        <v>19846</v>
      </c>
      <c r="G76" s="41">
        <v>430256</v>
      </c>
      <c r="H76" s="49">
        <f t="shared" si="28"/>
        <v>0.19863545629767224</v>
      </c>
      <c r="I76" s="51">
        <f t="shared" ref="I76:I77" si="35">E76/$C76</f>
        <v>0.37551145851097634</v>
      </c>
      <c r="J76" s="51">
        <f t="shared" si="23"/>
        <v>1.2174399530838417E-2</v>
      </c>
      <c r="K76" s="50">
        <f t="shared" si="24"/>
        <v>0.26393774284694216</v>
      </c>
      <c r="L76" s="102">
        <f t="shared" si="33"/>
        <v>64909.021984537998</v>
      </c>
      <c r="M76" s="103">
        <f t="shared" si="34"/>
        <v>122707.60704175716</v>
      </c>
      <c r="N76" s="103">
        <f t="shared" si="32"/>
        <v>3978.2845496199584</v>
      </c>
      <c r="O76" s="103">
        <f t="shared" si="27"/>
        <v>86248.150618829226</v>
      </c>
      <c r="P76" s="111">
        <f t="shared" si="31"/>
        <v>187616629.02629516</v>
      </c>
    </row>
    <row r="77" spans="1:17" x14ac:dyDescent="0.25">
      <c r="A77" s="38">
        <v>2050</v>
      </c>
      <c r="B77" s="14">
        <v>334816.96808029286</v>
      </c>
      <c r="C77" s="45">
        <v>1721011</v>
      </c>
      <c r="D77" s="14">
        <v>380723</v>
      </c>
      <c r="E77" s="14">
        <v>674115</v>
      </c>
      <c r="F77" s="14">
        <v>15501</v>
      </c>
      <c r="G77" s="41">
        <v>398039</v>
      </c>
      <c r="H77" s="49">
        <f t="shared" si="28"/>
        <v>0.22122055001391625</v>
      </c>
      <c r="I77" s="51">
        <f t="shared" si="35"/>
        <v>0.39169708967577777</v>
      </c>
      <c r="J77" s="51">
        <f t="shared" si="23"/>
        <v>9.0069151214024774E-3</v>
      </c>
      <c r="K77" s="50">
        <f t="shared" si="24"/>
        <v>0.23128207780194315</v>
      </c>
      <c r="L77" s="102">
        <f t="shared" si="33"/>
        <v>74068.393832714224</v>
      </c>
      <c r="M77" s="103">
        <f t="shared" si="34"/>
        <v>131146.83197111849</v>
      </c>
      <c r="N77" s="103">
        <f t="shared" si="32"/>
        <v>3015.6680127045206</v>
      </c>
      <c r="O77" s="103">
        <f>K77*$B77</f>
        <v>77437.164060957017</v>
      </c>
      <c r="P77" s="111">
        <f t="shared" si="31"/>
        <v>205215225.80383271</v>
      </c>
    </row>
    <row r="78" spans="1:17" x14ac:dyDescent="0.25">
      <c r="B78" s="65"/>
      <c r="E78"/>
    </row>
    <row r="79" spans="1:17" x14ac:dyDescent="0.25">
      <c r="B79" s="65"/>
      <c r="E79"/>
    </row>
    <row r="80" spans="1:17" ht="18.75" x14ac:dyDescent="0.3">
      <c r="A80" s="31" t="s">
        <v>177</v>
      </c>
      <c r="B80" s="65"/>
      <c r="E80"/>
      <c r="H80" s="71"/>
      <c r="I80" s="71"/>
      <c r="J80" s="71"/>
      <c r="K80" s="71"/>
      <c r="L80" s="71"/>
      <c r="M80" s="71"/>
      <c r="N80" s="71"/>
      <c r="O80" s="71"/>
    </row>
    <row r="81" spans="1:17" ht="83.45" customHeight="1" x14ac:dyDescent="0.25">
      <c r="A81" s="18"/>
      <c r="B81" s="77" t="s">
        <v>95</v>
      </c>
      <c r="C81" s="82" t="s">
        <v>178</v>
      </c>
      <c r="D81" s="77" t="s">
        <v>178</v>
      </c>
      <c r="E81" s="77" t="s">
        <v>178</v>
      </c>
      <c r="F81" s="77" t="s">
        <v>178</v>
      </c>
      <c r="G81" s="77" t="s">
        <v>178</v>
      </c>
      <c r="H81" s="150" t="s">
        <v>197</v>
      </c>
      <c r="I81" s="151"/>
      <c r="J81" s="151"/>
      <c r="K81" s="152"/>
      <c r="L81" s="147" t="s">
        <v>205</v>
      </c>
      <c r="M81" s="148"/>
      <c r="N81" s="148"/>
      <c r="O81" s="149"/>
    </row>
    <row r="82" spans="1:17" ht="83.25" x14ac:dyDescent="0.25">
      <c r="A82" s="10" t="s">
        <v>0</v>
      </c>
      <c r="B82" s="11" t="s">
        <v>109</v>
      </c>
      <c r="C82" s="43" t="s">
        <v>179</v>
      </c>
      <c r="D82" s="11" t="s">
        <v>180</v>
      </c>
      <c r="E82" s="11" t="s">
        <v>181</v>
      </c>
      <c r="F82" s="11" t="s">
        <v>182</v>
      </c>
      <c r="G82" s="11" t="s">
        <v>183</v>
      </c>
      <c r="H82" s="43" t="s">
        <v>180</v>
      </c>
      <c r="I82" s="11" t="s">
        <v>181</v>
      </c>
      <c r="J82" s="11" t="s">
        <v>182</v>
      </c>
      <c r="K82" s="11" t="s">
        <v>183</v>
      </c>
      <c r="L82" s="48" t="s">
        <v>155</v>
      </c>
      <c r="M82" s="11" t="s">
        <v>156</v>
      </c>
      <c r="N82" s="11" t="s">
        <v>157</v>
      </c>
      <c r="O82" s="11" t="s">
        <v>159</v>
      </c>
      <c r="P82" s="109" t="s">
        <v>236</v>
      </c>
    </row>
    <row r="83" spans="1:17" x14ac:dyDescent="0.25">
      <c r="A83" s="10" t="s">
        <v>9</v>
      </c>
      <c r="B83" s="10" t="s">
        <v>103</v>
      </c>
      <c r="C83" s="44" t="s">
        <v>184</v>
      </c>
      <c r="D83" s="11" t="s">
        <v>185</v>
      </c>
      <c r="E83" s="11" t="s">
        <v>186</v>
      </c>
      <c r="F83" s="11" t="s">
        <v>187</v>
      </c>
      <c r="G83" s="11" t="s">
        <v>188</v>
      </c>
      <c r="H83" s="43" t="s">
        <v>185</v>
      </c>
      <c r="I83" s="11" t="s">
        <v>186</v>
      </c>
      <c r="J83" s="11" t="s">
        <v>187</v>
      </c>
      <c r="K83" s="11" t="s">
        <v>188</v>
      </c>
      <c r="L83" s="83" t="s">
        <v>185</v>
      </c>
      <c r="M83" s="11" t="s">
        <v>186</v>
      </c>
      <c r="N83" s="11" t="s">
        <v>187</v>
      </c>
      <c r="O83" s="11" t="s">
        <v>188</v>
      </c>
      <c r="P83" s="11" t="s">
        <v>235</v>
      </c>
    </row>
    <row r="84" spans="1:17" ht="14.45" customHeight="1" x14ac:dyDescent="0.25">
      <c r="A84" s="38">
        <v>2010</v>
      </c>
      <c r="B84" s="14">
        <v>298320</v>
      </c>
      <c r="C84" s="45">
        <v>821516</v>
      </c>
      <c r="D84" s="14">
        <v>15307</v>
      </c>
      <c r="E84" s="14">
        <v>83905</v>
      </c>
      <c r="F84" s="14">
        <v>131393</v>
      </c>
      <c r="G84" s="41">
        <v>458050</v>
      </c>
      <c r="H84" s="49">
        <f>D84/$C84</f>
        <v>1.86326255362038E-2</v>
      </c>
      <c r="I84" s="51">
        <f>E84/$C84</f>
        <v>0.10213434674431174</v>
      </c>
      <c r="J84" s="51">
        <f t="shared" ref="J84:J92" si="36">F84/$C84</f>
        <v>0.15993967250790003</v>
      </c>
      <c r="K84" s="50">
        <f t="shared" ref="K84:K92" si="37">G84/$C84</f>
        <v>0.55756674246149807</v>
      </c>
      <c r="L84" s="102">
        <f>H84*$B84</f>
        <v>5558.4848499603177</v>
      </c>
      <c r="M84" s="103">
        <f t="shared" ref="M84:M87" si="38">I84*$B84</f>
        <v>30468.718320763077</v>
      </c>
      <c r="N84" s="103">
        <f t="shared" ref="N84:N86" si="39">J84*$B84</f>
        <v>47713.203102556741</v>
      </c>
      <c r="O84" s="103">
        <f t="shared" ref="O84:O91" si="40">K84*$B84</f>
        <v>166333.31061111411</v>
      </c>
      <c r="P84" s="111">
        <f>(L84+M84)*1000</f>
        <v>36027203.170723401</v>
      </c>
      <c r="Q84" s="110"/>
    </row>
    <row r="85" spans="1:17" x14ac:dyDescent="0.25">
      <c r="A85" s="38">
        <v>2015</v>
      </c>
      <c r="B85" s="14">
        <v>278833.08008360304</v>
      </c>
      <c r="C85" s="45">
        <v>922175</v>
      </c>
      <c r="D85" s="14">
        <v>28018</v>
      </c>
      <c r="E85" s="14">
        <v>141830</v>
      </c>
      <c r="F85" s="14">
        <v>125743</v>
      </c>
      <c r="G85" s="41">
        <v>469212</v>
      </c>
      <c r="H85" s="49">
        <f t="shared" ref="H85:H92" si="41">D85/$C85</f>
        <v>3.0382519586846315E-2</v>
      </c>
      <c r="I85" s="51">
        <f t="shared" ref="I85:I88" si="42">E85/$C85</f>
        <v>0.15379944153766908</v>
      </c>
      <c r="J85" s="51">
        <f t="shared" si="36"/>
        <v>0.13635481334887631</v>
      </c>
      <c r="K85" s="50">
        <f t="shared" si="37"/>
        <v>0.50881014991731499</v>
      </c>
      <c r="L85" s="102">
        <f t="shared" ref="L85:L87" si="43">H85*$B85</f>
        <v>8471.6515171007559</v>
      </c>
      <c r="M85" s="103">
        <f t="shared" si="38"/>
        <v>42884.37199908631</v>
      </c>
      <c r="N85" s="103">
        <f t="shared" si="39"/>
        <v>38020.232590291969</v>
      </c>
      <c r="O85" s="103">
        <f t="shared" si="40"/>
        <v>141873.10127924476</v>
      </c>
      <c r="P85" s="111">
        <f t="shared" ref="P85:P92" si="44">(L85+M85)*1000</f>
        <v>51356023.516187064</v>
      </c>
      <c r="Q85" s="110"/>
    </row>
    <row r="86" spans="1:17" x14ac:dyDescent="0.25">
      <c r="A86" s="38">
        <v>2020</v>
      </c>
      <c r="B86" s="14">
        <v>246442.63548741434</v>
      </c>
      <c r="C86" s="45">
        <v>1012749</v>
      </c>
      <c r="D86" s="14">
        <v>54353</v>
      </c>
      <c r="E86" s="14">
        <v>239169</v>
      </c>
      <c r="F86" s="14">
        <v>123107</v>
      </c>
      <c r="G86" s="41">
        <v>418212</v>
      </c>
      <c r="H86" s="49">
        <f>D86/$C86</f>
        <v>5.3668776765022727E-2</v>
      </c>
      <c r="I86" s="51">
        <f t="shared" si="42"/>
        <v>0.23615821886765626</v>
      </c>
      <c r="J86" s="51">
        <f t="shared" si="36"/>
        <v>0.12155726641053212</v>
      </c>
      <c r="K86" s="50">
        <f t="shared" si="37"/>
        <v>0.41294733443330972</v>
      </c>
      <c r="L86" s="102">
        <f t="shared" si="43"/>
        <v>13226.274789357909</v>
      </c>
      <c r="M86" s="103">
        <f t="shared" si="38"/>
        <v>58199.453849758829</v>
      </c>
      <c r="N86" s="103">
        <f t="shared" si="39"/>
        <v>29956.893096857282</v>
      </c>
      <c r="O86" s="103">
        <f t="shared" si="40"/>
        <v>101767.82941524753</v>
      </c>
      <c r="P86" s="111">
        <f t="shared" si="44"/>
        <v>71425728.639116749</v>
      </c>
      <c r="Q86" s="110"/>
    </row>
    <row r="87" spans="1:17" x14ac:dyDescent="0.25">
      <c r="A87" s="38">
        <v>2025</v>
      </c>
      <c r="B87" s="14">
        <v>279822.38450184994</v>
      </c>
      <c r="C87" s="45">
        <v>1024363</v>
      </c>
      <c r="D87" s="14">
        <v>73156</v>
      </c>
      <c r="E87" s="14">
        <v>283249</v>
      </c>
      <c r="F87" s="14">
        <v>100140</v>
      </c>
      <c r="G87" s="41">
        <v>377740</v>
      </c>
      <c r="H87" s="49">
        <f t="shared" si="41"/>
        <v>7.1416089804102648E-2</v>
      </c>
      <c r="I87" s="51">
        <f t="shared" si="42"/>
        <v>0.27651233010173154</v>
      </c>
      <c r="J87" s="51">
        <f t="shared" si="36"/>
        <v>9.7758314191355999E-2</v>
      </c>
      <c r="K87" s="50">
        <f t="shared" si="37"/>
        <v>0.36875599762974648</v>
      </c>
      <c r="L87" s="102">
        <f t="shared" si="43"/>
        <v>19983.820540782257</v>
      </c>
      <c r="M87" s="103">
        <f t="shared" si="38"/>
        <v>77374.339553229176</v>
      </c>
      <c r="N87" s="103">
        <f>J87*$B87</f>
        <v>27354.964581906272</v>
      </c>
      <c r="O87" s="103">
        <f t="shared" si="40"/>
        <v>103186.18255611419</v>
      </c>
      <c r="P87" s="111">
        <f t="shared" si="44"/>
        <v>97358160.094011426</v>
      </c>
      <c r="Q87" s="110"/>
    </row>
    <row r="88" spans="1:17" x14ac:dyDescent="0.25">
      <c r="A88" s="38">
        <v>2030</v>
      </c>
      <c r="B88" s="14">
        <v>296470.27009389986</v>
      </c>
      <c r="C88" s="45">
        <v>1111329</v>
      </c>
      <c r="D88" s="14">
        <v>115047</v>
      </c>
      <c r="E88" s="14">
        <v>366453</v>
      </c>
      <c r="F88" s="14">
        <v>81678</v>
      </c>
      <c r="G88" s="41">
        <v>349328</v>
      </c>
      <c r="H88" s="49">
        <f t="shared" si="41"/>
        <v>0.10352199933593022</v>
      </c>
      <c r="I88" s="51">
        <f t="shared" si="42"/>
        <v>0.32974303739036775</v>
      </c>
      <c r="J88" s="51">
        <f t="shared" si="36"/>
        <v>7.3495787476075936E-2</v>
      </c>
      <c r="K88" s="50">
        <f t="shared" si="37"/>
        <v>0.31433355918904304</v>
      </c>
      <c r="L88" s="102">
        <f>H88*$B88</f>
        <v>30691.195103783753</v>
      </c>
      <c r="M88" s="103">
        <f>I88*$B88</f>
        <v>97759.007356705246</v>
      </c>
      <c r="N88" s="103">
        <f t="shared" ref="N88:N92" si="45">J88*$B88</f>
        <v>21789.315963796096</v>
      </c>
      <c r="O88" s="103">
        <f t="shared" si="40"/>
        <v>93190.555192352447</v>
      </c>
      <c r="P88" s="111">
        <f t="shared" si="44"/>
        <v>128450202.460489</v>
      </c>
    </row>
    <row r="89" spans="1:17" x14ac:dyDescent="0.25">
      <c r="A89" s="38">
        <v>2035</v>
      </c>
      <c r="B89" s="14">
        <v>307565.65652286325</v>
      </c>
      <c r="C89" s="45">
        <v>1171937</v>
      </c>
      <c r="D89" s="14">
        <v>155244</v>
      </c>
      <c r="E89" s="14">
        <v>408508</v>
      </c>
      <c r="F89" s="14">
        <v>83169</v>
      </c>
      <c r="G89" s="41">
        <v>316622</v>
      </c>
      <c r="H89" s="49">
        <f t="shared" si="41"/>
        <v>0.13246787156647499</v>
      </c>
      <c r="I89" s="51">
        <f>E89/$C89</f>
        <v>0.34857505138928119</v>
      </c>
      <c r="J89" s="51">
        <f t="shared" si="36"/>
        <v>7.0967125365953967E-2</v>
      </c>
      <c r="K89" s="50">
        <f t="shared" si="37"/>
        <v>0.27016981288243308</v>
      </c>
      <c r="L89" s="102">
        <f t="shared" ref="L89:L92" si="46">H89*$B89</f>
        <v>40742.567886529214</v>
      </c>
      <c r="M89" s="103">
        <f t="shared" ref="M89:M92" si="47">I89*$B89</f>
        <v>107209.71452803507</v>
      </c>
      <c r="N89" s="103">
        <f t="shared" si="45"/>
        <v>21827.050504719973</v>
      </c>
      <c r="O89" s="103">
        <f t="shared" si="40"/>
        <v>83094.95587184465</v>
      </c>
      <c r="P89" s="111">
        <f t="shared" si="44"/>
        <v>147952282.41456428</v>
      </c>
    </row>
    <row r="90" spans="1:17" x14ac:dyDescent="0.25">
      <c r="A90" s="38">
        <v>2040</v>
      </c>
      <c r="B90" s="14">
        <v>319630.60689371044</v>
      </c>
      <c r="C90" s="45">
        <v>1305302</v>
      </c>
      <c r="D90" s="14">
        <v>213167</v>
      </c>
      <c r="E90" s="14">
        <v>472133</v>
      </c>
      <c r="F90" s="14">
        <v>84304</v>
      </c>
      <c r="G90" s="41">
        <v>312596</v>
      </c>
      <c r="H90" s="49">
        <f t="shared" si="41"/>
        <v>0.16330856767246202</v>
      </c>
      <c r="I90" s="51">
        <f>E90/$C90</f>
        <v>0.36170403477509422</v>
      </c>
      <c r="J90" s="51">
        <f t="shared" si="36"/>
        <v>6.4585819986485882E-2</v>
      </c>
      <c r="K90" s="50">
        <f t="shared" si="37"/>
        <v>0.23948174445454001</v>
      </c>
      <c r="L90" s="102">
        <f t="shared" si="46"/>
        <v>52198.416596091614</v>
      </c>
      <c r="M90" s="103">
        <f t="shared" si="47"/>
        <v>115611.68015106711</v>
      </c>
      <c r="N90" s="103">
        <f t="shared" si="45"/>
        <v>20643.604839008414</v>
      </c>
      <c r="O90" s="103">
        <f>K90*$B90</f>
        <v>76545.695319969105</v>
      </c>
      <c r="P90" s="111">
        <f t="shared" si="44"/>
        <v>167810096.74715874</v>
      </c>
    </row>
    <row r="91" spans="1:17" x14ac:dyDescent="0.25">
      <c r="A91" s="38">
        <v>2045</v>
      </c>
      <c r="B91" s="14">
        <v>326774.60104235506</v>
      </c>
      <c r="C91" s="45">
        <v>1401647</v>
      </c>
      <c r="D91" s="14">
        <v>269202</v>
      </c>
      <c r="E91" s="14">
        <v>513679</v>
      </c>
      <c r="F91" s="14">
        <v>83228</v>
      </c>
      <c r="G91" s="41">
        <v>300838</v>
      </c>
      <c r="H91" s="49">
        <f t="shared" si="41"/>
        <v>0.1920611965780257</v>
      </c>
      <c r="I91" s="51">
        <f t="shared" ref="I91:I92" si="48">E91/$C91</f>
        <v>0.36648243102578609</v>
      </c>
      <c r="J91" s="51">
        <f t="shared" si="36"/>
        <v>5.9378716609816883E-2</v>
      </c>
      <c r="K91" s="50">
        <f t="shared" si="37"/>
        <v>0.21463178674801858</v>
      </c>
      <c r="L91" s="102">
        <f t="shared" si="46"/>
        <v>62760.72088750168</v>
      </c>
      <c r="M91" s="103">
        <f t="shared" si="47"/>
        <v>119757.15018748365</v>
      </c>
      <c r="N91" s="103">
        <f t="shared" si="45"/>
        <v>19403.456430579972</v>
      </c>
      <c r="O91" s="103">
        <f t="shared" si="40"/>
        <v>70136.216485591605</v>
      </c>
      <c r="P91" s="111">
        <f t="shared" si="44"/>
        <v>182517871.07498533</v>
      </c>
    </row>
    <row r="92" spans="1:17" x14ac:dyDescent="0.25">
      <c r="A92" s="38">
        <v>2050</v>
      </c>
      <c r="B92" s="14">
        <v>334816.96808029286</v>
      </c>
      <c r="C92" s="45">
        <v>1472585</v>
      </c>
      <c r="D92" s="14">
        <v>329948</v>
      </c>
      <c r="E92" s="14">
        <v>547588</v>
      </c>
      <c r="F92" s="14">
        <v>78908</v>
      </c>
      <c r="G92" s="41">
        <v>272202</v>
      </c>
      <c r="H92" s="49">
        <f t="shared" si="41"/>
        <v>0.22406041077425073</v>
      </c>
      <c r="I92" s="51">
        <f t="shared" si="48"/>
        <v>0.3718549353687563</v>
      </c>
      <c r="J92" s="51">
        <f t="shared" si="36"/>
        <v>5.3584682717805761E-2</v>
      </c>
      <c r="K92" s="50">
        <f t="shared" si="37"/>
        <v>0.18484637559122225</v>
      </c>
      <c r="L92" s="102">
        <f t="shared" si="46"/>
        <v>75019.22740225961</v>
      </c>
      <c r="M92" s="103">
        <f t="shared" si="47"/>
        <v>124503.34202586024</v>
      </c>
      <c r="N92" s="103">
        <f t="shared" si="45"/>
        <v>17941.06100312019</v>
      </c>
      <c r="O92" s="103">
        <f>K92*$B92</f>
        <v>61889.703036084087</v>
      </c>
      <c r="P92" s="111">
        <f t="shared" si="44"/>
        <v>199522569.42811987</v>
      </c>
    </row>
    <row r="93" spans="1:17" ht="14.45" customHeight="1" x14ac:dyDescent="0.25">
      <c r="E93"/>
    </row>
    <row r="94" spans="1:17" x14ac:dyDescent="0.25">
      <c r="E94"/>
    </row>
    <row r="95" spans="1:17" ht="18.75" x14ac:dyDescent="0.3">
      <c r="A95" s="31" t="s">
        <v>194</v>
      </c>
      <c r="E95"/>
    </row>
    <row r="96" spans="1:17" ht="18.75" x14ac:dyDescent="0.3">
      <c r="A96" s="31" t="s">
        <v>195</v>
      </c>
      <c r="E96"/>
    </row>
    <row r="97" spans="1:17" ht="68.25" customHeight="1" x14ac:dyDescent="0.25">
      <c r="A97" s="18"/>
      <c r="B97" s="77" t="s">
        <v>95</v>
      </c>
      <c r="C97" s="42" t="s">
        <v>198</v>
      </c>
      <c r="D97" s="18" t="s">
        <v>198</v>
      </c>
      <c r="E97" s="18" t="s">
        <v>198</v>
      </c>
      <c r="F97" s="18" t="s">
        <v>198</v>
      </c>
      <c r="G97" s="40" t="s">
        <v>198</v>
      </c>
      <c r="H97" s="144" t="s">
        <v>204</v>
      </c>
      <c r="I97" s="145"/>
      <c r="J97" s="145"/>
      <c r="K97" s="146"/>
      <c r="L97" s="147" t="s">
        <v>205</v>
      </c>
      <c r="M97" s="148"/>
      <c r="N97" s="148"/>
      <c r="O97" s="149"/>
    </row>
    <row r="98" spans="1:17" ht="84.95" customHeight="1" x14ac:dyDescent="0.25">
      <c r="A98" s="10" t="s">
        <v>0</v>
      </c>
      <c r="B98" s="11" t="s">
        <v>109</v>
      </c>
      <c r="C98" s="43" t="s">
        <v>206</v>
      </c>
      <c r="D98" s="11" t="s">
        <v>207</v>
      </c>
      <c r="E98" s="11" t="s">
        <v>208</v>
      </c>
      <c r="F98" s="11" t="s">
        <v>209</v>
      </c>
      <c r="G98" s="11" t="s">
        <v>210</v>
      </c>
      <c r="H98" s="43" t="s">
        <v>207</v>
      </c>
      <c r="I98" s="11" t="s">
        <v>208</v>
      </c>
      <c r="J98" s="11" t="s">
        <v>209</v>
      </c>
      <c r="K98" s="11" t="s">
        <v>210</v>
      </c>
      <c r="L98" s="48" t="s">
        <v>193</v>
      </c>
      <c r="M98" s="11" t="s">
        <v>156</v>
      </c>
      <c r="N98" s="11" t="s">
        <v>157</v>
      </c>
      <c r="O98" s="11" t="s">
        <v>158</v>
      </c>
      <c r="P98" s="109" t="s">
        <v>236</v>
      </c>
    </row>
    <row r="99" spans="1:17" x14ac:dyDescent="0.25">
      <c r="A99" s="10" t="s">
        <v>9</v>
      </c>
      <c r="B99" s="10" t="s">
        <v>103</v>
      </c>
      <c r="C99" s="44" t="s">
        <v>199</v>
      </c>
      <c r="D99" s="11" t="s">
        <v>200</v>
      </c>
      <c r="E99" s="11" t="s">
        <v>201</v>
      </c>
      <c r="F99" s="11" t="s">
        <v>202</v>
      </c>
      <c r="G99" s="11" t="s">
        <v>203</v>
      </c>
      <c r="H99" s="43" t="s">
        <v>84</v>
      </c>
      <c r="I99" s="11" t="s">
        <v>85</v>
      </c>
      <c r="J99" s="11" t="s">
        <v>86</v>
      </c>
      <c r="K99" s="11" t="s">
        <v>106</v>
      </c>
      <c r="L99" s="43" t="s">
        <v>84</v>
      </c>
      <c r="M99" s="11" t="s">
        <v>85</v>
      </c>
      <c r="N99" s="11" t="s">
        <v>86</v>
      </c>
      <c r="O99" s="11" t="s">
        <v>106</v>
      </c>
      <c r="P99" s="11" t="s">
        <v>235</v>
      </c>
    </row>
    <row r="100" spans="1:17" ht="14.45" customHeight="1" x14ac:dyDescent="0.25">
      <c r="A100" s="38">
        <v>2010</v>
      </c>
      <c r="B100" s="14">
        <v>298320</v>
      </c>
      <c r="C100" s="45">
        <v>821506</v>
      </c>
      <c r="D100" s="14">
        <v>15307</v>
      </c>
      <c r="E100" s="14">
        <v>83905</v>
      </c>
      <c r="F100" s="14">
        <v>131393</v>
      </c>
      <c r="G100" s="41">
        <v>458046</v>
      </c>
      <c r="H100" s="49">
        <f>D100/$C100</f>
        <v>1.8632852346787486E-2</v>
      </c>
      <c r="I100" s="51">
        <f>E100/$C100</f>
        <v>0.10213559000177723</v>
      </c>
      <c r="J100" s="51">
        <f t="shared" ref="J100:J108" si="49">F100/$C100</f>
        <v>0.15994161941604809</v>
      </c>
      <c r="K100" s="50">
        <f t="shared" ref="K100:K108" si="50">G100/$C100</f>
        <v>0.5575686604845248</v>
      </c>
      <c r="L100" s="102">
        <f>H100*$B100</f>
        <v>5558.5525120936427</v>
      </c>
      <c r="M100" s="103">
        <f t="shared" ref="M100:M108" si="51">I100*$B100</f>
        <v>30469.089209330185</v>
      </c>
      <c r="N100" s="103">
        <f t="shared" ref="N100:N102" si="52">J100*$B100</f>
        <v>47713.783904195465</v>
      </c>
      <c r="O100" s="103">
        <f t="shared" ref="O100:O107" si="53">K100*$B100</f>
        <v>166333.88279574344</v>
      </c>
      <c r="P100" s="111">
        <f>(L100+M100)*1000</f>
        <v>36027641.721423827</v>
      </c>
      <c r="Q100" s="110"/>
    </row>
    <row r="101" spans="1:17" x14ac:dyDescent="0.25">
      <c r="A101" s="38">
        <v>2015</v>
      </c>
      <c r="B101" s="14">
        <v>278833.08008360304</v>
      </c>
      <c r="C101" s="45">
        <v>927968</v>
      </c>
      <c r="D101" s="14">
        <v>27909</v>
      </c>
      <c r="E101" s="14">
        <v>139251</v>
      </c>
      <c r="F101" s="14">
        <v>125743</v>
      </c>
      <c r="G101" s="41">
        <v>477891</v>
      </c>
      <c r="H101" s="49">
        <f t="shared" ref="H101:H108" si="54">D101/$C101</f>
        <v>3.0075390530707954E-2</v>
      </c>
      <c r="I101" s="51">
        <f t="shared" ref="I101:I104" si="55">E101/$C101</f>
        <v>0.15006013138384083</v>
      </c>
      <c r="J101" s="51">
        <f t="shared" si="49"/>
        <v>0.13550359495155007</v>
      </c>
      <c r="K101" s="50">
        <f t="shared" si="50"/>
        <v>0.51498650815545366</v>
      </c>
      <c r="L101" s="102">
        <f t="shared" ref="L101:L108" si="56">H101*$B101</f>
        <v>8386.0137763945277</v>
      </c>
      <c r="M101" s="103">
        <f t="shared" si="51"/>
        <v>41841.728631506485</v>
      </c>
      <c r="N101" s="103">
        <f t="shared" si="52"/>
        <v>37782.884742741669</v>
      </c>
      <c r="O101" s="103">
        <f t="shared" si="53"/>
        <v>143595.27427048469</v>
      </c>
      <c r="P101" s="111">
        <f>(L101+M101)*1000</f>
        <v>50227742.407901011</v>
      </c>
      <c r="Q101" s="110"/>
    </row>
    <row r="102" spans="1:17" x14ac:dyDescent="0.25">
      <c r="A102" s="38">
        <v>2020</v>
      </c>
      <c r="B102" s="14">
        <v>246442.63548741434</v>
      </c>
      <c r="C102" s="45">
        <v>1013372</v>
      </c>
      <c r="D102" s="14">
        <v>53760</v>
      </c>
      <c r="E102" s="14">
        <v>223516</v>
      </c>
      <c r="F102" s="14">
        <v>124707</v>
      </c>
      <c r="G102" s="41">
        <v>433932</v>
      </c>
      <c r="H102" s="49">
        <f t="shared" si="54"/>
        <v>5.3050607279459074E-2</v>
      </c>
      <c r="I102" s="51">
        <f t="shared" si="55"/>
        <v>0.22056658364351886</v>
      </c>
      <c r="J102" s="51">
        <f t="shared" si="49"/>
        <v>0.12306142265624075</v>
      </c>
      <c r="K102" s="50">
        <f t="shared" si="50"/>
        <v>0.42820602898047311</v>
      </c>
      <c r="L102" s="102">
        <f t="shared" si="56"/>
        <v>13073.931472157703</v>
      </c>
      <c r="M102" s="103">
        <f t="shared" si="51"/>
        <v>54357.010173564006</v>
      </c>
      <c r="N102" s="103">
        <f t="shared" si="52"/>
        <v>30327.581326234573</v>
      </c>
      <c r="O102" s="103">
        <f t="shared" si="53"/>
        <v>105528.22231354791</v>
      </c>
      <c r="P102" s="111">
        <f t="shared" ref="P102:P108" si="57">(L102+M102)*1000</f>
        <v>67430941.645721704</v>
      </c>
      <c r="Q102" s="110"/>
    </row>
    <row r="103" spans="1:17" x14ac:dyDescent="0.25">
      <c r="A103" s="38">
        <v>2025</v>
      </c>
      <c r="B103" s="14">
        <v>279822.38450184994</v>
      </c>
      <c r="C103" s="45">
        <v>1045670</v>
      </c>
      <c r="D103" s="14">
        <v>69195</v>
      </c>
      <c r="E103" s="14">
        <v>257880</v>
      </c>
      <c r="F103" s="14">
        <v>105768</v>
      </c>
      <c r="G103" s="41">
        <v>423191</v>
      </c>
      <c r="H103" s="49">
        <f t="shared" si="54"/>
        <v>6.6172884370786195E-2</v>
      </c>
      <c r="I103" s="51">
        <f t="shared" si="55"/>
        <v>0.24661700153968269</v>
      </c>
      <c r="J103" s="51">
        <f t="shared" si="49"/>
        <v>0.10114854590836497</v>
      </c>
      <c r="K103" s="50">
        <f t="shared" si="50"/>
        <v>0.40470798626717797</v>
      </c>
      <c r="L103" s="102">
        <f t="shared" si="56"/>
        <v>18516.654293998592</v>
      </c>
      <c r="M103" s="103">
        <f t="shared" si="51"/>
        <v>69008.957429530405</v>
      </c>
      <c r="N103" s="103">
        <f>J103*$B103</f>
        <v>28303.627304973525</v>
      </c>
      <c r="O103" s="103">
        <f t="shared" si="53"/>
        <v>113246.35374422368</v>
      </c>
      <c r="P103" s="111">
        <f t="shared" si="57"/>
        <v>87525611.723528996</v>
      </c>
      <c r="Q103" s="110"/>
    </row>
    <row r="104" spans="1:17" x14ac:dyDescent="0.25">
      <c r="A104" s="38">
        <v>2030</v>
      </c>
      <c r="B104" s="14">
        <v>296470.27009389986</v>
      </c>
      <c r="C104" s="45">
        <v>1123061</v>
      </c>
      <c r="D104" s="14">
        <v>95654</v>
      </c>
      <c r="E104" s="14">
        <v>317537</v>
      </c>
      <c r="F104" s="14">
        <v>101557</v>
      </c>
      <c r="G104" s="41">
        <v>412124</v>
      </c>
      <c r="H104" s="49">
        <f t="shared" si="54"/>
        <v>8.5172577446817221E-2</v>
      </c>
      <c r="I104" s="51">
        <f t="shared" si="55"/>
        <v>0.28274243340299415</v>
      </c>
      <c r="J104" s="51">
        <f t="shared" si="49"/>
        <v>9.0428747859644318E-2</v>
      </c>
      <c r="K104" s="50">
        <f t="shared" si="50"/>
        <v>0.36696492888632049</v>
      </c>
      <c r="L104" s="102">
        <f t="shared" si="56"/>
        <v>25251.137040251506</v>
      </c>
      <c r="M104" s="103">
        <f t="shared" si="51"/>
        <v>83824.725597992176</v>
      </c>
      <c r="N104" s="103">
        <f t="shared" ref="N104:N108" si="58">J104*$B104</f>
        <v>26809.43530220192</v>
      </c>
      <c r="O104" s="103">
        <f t="shared" si="53"/>
        <v>108794.19158191619</v>
      </c>
      <c r="P104" s="111">
        <f t="shared" si="57"/>
        <v>109075862.63824368</v>
      </c>
      <c r="Q104" s="101"/>
    </row>
    <row r="105" spans="1:17" x14ac:dyDescent="0.25">
      <c r="A105" s="38">
        <v>2035</v>
      </c>
      <c r="B105" s="14">
        <v>307565.65652286325</v>
      </c>
      <c r="C105" s="45">
        <v>1197316</v>
      </c>
      <c r="D105" s="14">
        <v>120062</v>
      </c>
      <c r="E105" s="14">
        <v>345380</v>
      </c>
      <c r="F105" s="14">
        <v>106734</v>
      </c>
      <c r="G105" s="41">
        <v>426384</v>
      </c>
      <c r="H105" s="49">
        <f t="shared" si="54"/>
        <v>0.10027595054271388</v>
      </c>
      <c r="I105" s="51">
        <f>E105/$C105</f>
        <v>0.28846185969284632</v>
      </c>
      <c r="J105" s="51">
        <f t="shared" si="49"/>
        <v>8.9144386277306906E-2</v>
      </c>
      <c r="K105" s="50">
        <f t="shared" si="50"/>
        <v>0.35611651393617055</v>
      </c>
      <c r="L105" s="102">
        <f t="shared" si="56"/>
        <v>30841.43856212396</v>
      </c>
      <c r="M105" s="103">
        <f t="shared" si="51"/>
        <v>88720.961258236348</v>
      </c>
      <c r="N105" s="103">
        <f t="shared" si="58"/>
        <v>27417.751690707621</v>
      </c>
      <c r="O105" s="103">
        <f t="shared" si="53"/>
        <v>109529.20940741168</v>
      </c>
      <c r="P105" s="111">
        <f t="shared" si="57"/>
        <v>119562399.82036032</v>
      </c>
      <c r="Q105" s="101"/>
    </row>
    <row r="106" spans="1:17" x14ac:dyDescent="0.25">
      <c r="A106" s="38">
        <v>2040</v>
      </c>
      <c r="B106" s="14">
        <v>319630.60689371044</v>
      </c>
      <c r="C106" s="45">
        <v>1311405</v>
      </c>
      <c r="D106" s="14">
        <v>164310</v>
      </c>
      <c r="E106" s="14">
        <v>381920</v>
      </c>
      <c r="F106" s="14">
        <v>110775</v>
      </c>
      <c r="G106" s="41">
        <v>449654</v>
      </c>
      <c r="H106" s="49">
        <f t="shared" si="54"/>
        <v>0.12529310167339608</v>
      </c>
      <c r="I106" s="51">
        <f>E106/$C106</f>
        <v>0.29122963539105007</v>
      </c>
      <c r="J106" s="51">
        <f t="shared" si="49"/>
        <v>8.4470472508492794E-2</v>
      </c>
      <c r="K106" s="50">
        <f t="shared" si="50"/>
        <v>0.34287958334763097</v>
      </c>
      <c r="L106" s="102">
        <f t="shared" si="56"/>
        <v>40047.510127462956</v>
      </c>
      <c r="M106" s="103">
        <f t="shared" si="51"/>
        <v>93085.905105475351</v>
      </c>
      <c r="N106" s="103">
        <f t="shared" si="58"/>
        <v>26999.348392488035</v>
      </c>
      <c r="O106" s="103">
        <f t="shared" si="53"/>
        <v>109594.80931686585</v>
      </c>
      <c r="P106" s="111">
        <f t="shared" si="57"/>
        <v>133133415.2329383</v>
      </c>
      <c r="Q106" s="101"/>
    </row>
    <row r="107" spans="1:17" x14ac:dyDescent="0.25">
      <c r="A107" s="38">
        <v>2045</v>
      </c>
      <c r="B107" s="14">
        <v>326774.60104235506</v>
      </c>
      <c r="C107" s="45">
        <v>1414578</v>
      </c>
      <c r="D107" s="14">
        <v>191934</v>
      </c>
      <c r="E107" s="14">
        <v>406916</v>
      </c>
      <c r="F107" s="14">
        <v>116332</v>
      </c>
      <c r="G107" s="41">
        <v>484187</v>
      </c>
      <c r="H107" s="49">
        <f t="shared" si="54"/>
        <v>0.13568286796486301</v>
      </c>
      <c r="I107" s="51">
        <f t="shared" ref="I107:I108" si="59">E107/$C107</f>
        <v>0.28765893432528994</v>
      </c>
      <c r="J107" s="51">
        <f t="shared" si="49"/>
        <v>8.223795365119492E-2</v>
      </c>
      <c r="K107" s="50">
        <f t="shared" si="50"/>
        <v>0.34228370581190998</v>
      </c>
      <c r="L107" s="102">
        <f t="shared" si="56"/>
        <v>44337.715047500649</v>
      </c>
      <c r="M107" s="103">
        <f t="shared" si="51"/>
        <v>93999.633500415643</v>
      </c>
      <c r="N107" s="103">
        <f t="shared" si="58"/>
        <v>26873.274494908906</v>
      </c>
      <c r="O107" s="103">
        <f t="shared" si="53"/>
        <v>111849.62140998572</v>
      </c>
      <c r="P107" s="111">
        <f t="shared" si="57"/>
        <v>138337348.54791626</v>
      </c>
      <c r="Q107" s="101"/>
    </row>
    <row r="108" spans="1:17" x14ac:dyDescent="0.25">
      <c r="A108" s="38">
        <v>2050</v>
      </c>
      <c r="B108" s="14">
        <v>334816.96808029286</v>
      </c>
      <c r="C108" s="45">
        <v>1501619</v>
      </c>
      <c r="D108" s="14">
        <v>223547</v>
      </c>
      <c r="E108" s="14">
        <v>431501</v>
      </c>
      <c r="F108" s="14">
        <v>116922</v>
      </c>
      <c r="G108" s="41">
        <v>507462</v>
      </c>
      <c r="H108" s="49">
        <f t="shared" si="54"/>
        <v>0.14887065227597679</v>
      </c>
      <c r="I108" s="51">
        <f t="shared" si="59"/>
        <v>0.28735717915130271</v>
      </c>
      <c r="J108" s="51">
        <f t="shared" si="49"/>
        <v>7.7863958833765429E-2</v>
      </c>
      <c r="K108" s="50">
        <f t="shared" si="50"/>
        <v>0.3379432465891814</v>
      </c>
      <c r="L108" s="102">
        <f t="shared" si="56"/>
        <v>49844.4204311781</v>
      </c>
      <c r="M108" s="103">
        <f t="shared" si="51"/>
        <v>96212.05947954471</v>
      </c>
      <c r="N108" s="103">
        <f t="shared" si="58"/>
        <v>26070.174619450077</v>
      </c>
      <c r="O108" s="103">
        <f>K108*$B108</f>
        <v>113149.13320620049</v>
      </c>
      <c r="P108" s="111">
        <f t="shared" si="57"/>
        <v>146056479.91072282</v>
      </c>
      <c r="Q108" s="101"/>
    </row>
    <row r="109" spans="1:17" x14ac:dyDescent="0.25">
      <c r="C109" s="79"/>
      <c r="D109" s="79"/>
      <c r="E109" s="80"/>
      <c r="F109" s="79"/>
    </row>
    <row r="110" spans="1:17" x14ac:dyDescent="0.25">
      <c r="C110" s="79"/>
      <c r="D110" s="79"/>
      <c r="E110" s="80"/>
      <c r="F110" s="79"/>
    </row>
    <row r="111" spans="1:17" ht="18.75" x14ac:dyDescent="0.3">
      <c r="A111" s="31" t="s">
        <v>290</v>
      </c>
      <c r="F111" s="79"/>
    </row>
    <row r="112" spans="1:17" x14ac:dyDescent="0.25">
      <c r="A112" s="117"/>
      <c r="B112" s="119" t="s">
        <v>267</v>
      </c>
      <c r="C112" s="118" t="s">
        <v>265</v>
      </c>
      <c r="D112" s="118" t="s">
        <v>266</v>
      </c>
      <c r="E112" s="118" t="s">
        <v>275</v>
      </c>
    </row>
    <row r="113" spans="1:5" x14ac:dyDescent="0.25">
      <c r="A113" s="52" t="s">
        <v>269</v>
      </c>
      <c r="B113" s="121">
        <f>48*$C$24</f>
        <v>45.220800000000004</v>
      </c>
      <c r="C113" s="122">
        <f>((3+6)/2)*10*$C$25</f>
        <v>47.767500000000005</v>
      </c>
      <c r="D113" s="122">
        <f>(28+30+37+41)/4</f>
        <v>34</v>
      </c>
      <c r="E113" s="122">
        <v>37</v>
      </c>
    </row>
    <row r="114" spans="1:5" ht="22.5" x14ac:dyDescent="0.25">
      <c r="A114" s="52" t="s">
        <v>270</v>
      </c>
      <c r="B114" s="123" t="s">
        <v>283</v>
      </c>
      <c r="C114" s="122">
        <f>((5+10)/2)*10*$C$25</f>
        <v>79.612500000000011</v>
      </c>
      <c r="D114" s="122">
        <f>D113+$D$119</f>
        <v>70.5</v>
      </c>
      <c r="E114" s="123" t="s">
        <v>281</v>
      </c>
    </row>
    <row r="115" spans="1:5" ht="22.5" x14ac:dyDescent="0.25">
      <c r="A115" s="56" t="s">
        <v>271</v>
      </c>
      <c r="B115" s="121">
        <f>((75+33)/2)*$C$24</f>
        <v>50.873400000000004</v>
      </c>
      <c r="C115" s="122">
        <f>((4+8+12)/3)*10*$C$25</f>
        <v>84.920000000000016</v>
      </c>
      <c r="D115" s="122">
        <f>(26+50+83)/3</f>
        <v>53</v>
      </c>
      <c r="E115" s="122">
        <v>47</v>
      </c>
    </row>
    <row r="116" spans="1:5" ht="33.75" x14ac:dyDescent="0.25">
      <c r="A116" s="56" t="s">
        <v>268</v>
      </c>
      <c r="B116" s="123" t="s">
        <v>283</v>
      </c>
      <c r="C116" s="123" t="s">
        <v>281</v>
      </c>
      <c r="D116" s="122">
        <f>D115+$D$119</f>
        <v>89.5</v>
      </c>
      <c r="E116" s="123" t="s">
        <v>281</v>
      </c>
    </row>
    <row r="117" spans="1:5" ht="22.5" x14ac:dyDescent="0.25">
      <c r="A117" s="56" t="s">
        <v>273</v>
      </c>
      <c r="B117" s="123" t="s">
        <v>282</v>
      </c>
      <c r="C117" s="123" t="s">
        <v>282</v>
      </c>
      <c r="D117" s="122">
        <f>(131+204)/2</f>
        <v>167.5</v>
      </c>
      <c r="E117" s="122">
        <v>128.30000000000001</v>
      </c>
    </row>
    <row r="118" spans="1:5" ht="22.5" x14ac:dyDescent="0.25">
      <c r="A118" s="56" t="s">
        <v>272</v>
      </c>
      <c r="B118" s="123" t="s">
        <v>282</v>
      </c>
      <c r="C118" s="122">
        <f>((8+10+11+11.5+13+15+29)/7)*10*$C$25</f>
        <v>147.85178571428571</v>
      </c>
      <c r="D118" s="122">
        <f>(196+151+152+65+74+45)/6</f>
        <v>113.83333333333333</v>
      </c>
      <c r="E118" s="122">
        <v>162.5</v>
      </c>
    </row>
    <row r="119" spans="1:5" ht="33.75" x14ac:dyDescent="0.25">
      <c r="A119" s="56" t="s">
        <v>276</v>
      </c>
      <c r="B119" s="123" t="s">
        <v>284</v>
      </c>
      <c r="C119" s="123" t="s">
        <v>330</v>
      </c>
      <c r="D119" s="121">
        <v>36.5</v>
      </c>
      <c r="E119" s="123" t="s">
        <v>281</v>
      </c>
    </row>
    <row r="120" spans="1:5" ht="112.5" x14ac:dyDescent="0.25">
      <c r="A120" s="56" t="s">
        <v>298</v>
      </c>
      <c r="B120" s="130" t="s">
        <v>312</v>
      </c>
      <c r="C120" s="130" t="s">
        <v>310</v>
      </c>
      <c r="D120" s="130" t="s">
        <v>313</v>
      </c>
      <c r="E120" s="130" t="s">
        <v>311</v>
      </c>
    </row>
    <row r="121" spans="1:5" ht="22.5" x14ac:dyDescent="0.25">
      <c r="A121" s="56" t="s">
        <v>285</v>
      </c>
      <c r="B121" s="123" t="s">
        <v>286</v>
      </c>
      <c r="C121" s="123" t="s">
        <v>286</v>
      </c>
      <c r="D121" s="123" t="s">
        <v>286</v>
      </c>
      <c r="E121" s="123" t="s">
        <v>287</v>
      </c>
    </row>
    <row r="122" spans="1:5" ht="22.5" x14ac:dyDescent="0.25">
      <c r="A122" s="56" t="s">
        <v>288</v>
      </c>
      <c r="B122" s="123" t="s">
        <v>287</v>
      </c>
      <c r="C122" s="123" t="s">
        <v>286</v>
      </c>
      <c r="D122" s="123" t="s">
        <v>286</v>
      </c>
      <c r="E122" s="123" t="s">
        <v>287</v>
      </c>
    </row>
    <row r="123" spans="1:5" ht="236.25" x14ac:dyDescent="0.25">
      <c r="A123" s="124" t="s">
        <v>274</v>
      </c>
      <c r="B123" s="125" t="s">
        <v>301</v>
      </c>
      <c r="C123" s="125" t="s">
        <v>329</v>
      </c>
      <c r="D123" s="125" t="s">
        <v>277</v>
      </c>
      <c r="E123" s="125" t="s">
        <v>289</v>
      </c>
    </row>
  </sheetData>
  <mergeCells count="10">
    <mergeCell ref="H97:K97"/>
    <mergeCell ref="L97:O97"/>
    <mergeCell ref="H36:K36"/>
    <mergeCell ref="L36:O36"/>
    <mergeCell ref="H81:K81"/>
    <mergeCell ref="L81:O81"/>
    <mergeCell ref="H51:K51"/>
    <mergeCell ref="L51:O51"/>
    <mergeCell ref="H66:K66"/>
    <mergeCell ref="L66:O66"/>
  </mergeCells>
  <phoneticPr fontId="11" type="noConversion"/>
  <hyperlinks>
    <hyperlink ref="C112" r:id="rId1" xr:uid="{00000000-0004-0000-0000-000000000000}"/>
    <hyperlink ref="D112" r:id="rId2" xr:uid="{00000000-0004-0000-0000-000001000000}"/>
    <hyperlink ref="B112" r:id="rId3" xr:uid="{00000000-0004-0000-0000-000002000000}"/>
    <hyperlink ref="E112" r:id="rId4" xr:uid="{00000000-0004-0000-0000-000003000000}"/>
  </hyperlinks>
  <pageMargins left="0.7" right="0.7" top="0.75" bottom="0.75" header="0.3" footer="0.3"/>
  <pageSetup paperSize="9" orientation="portrait" r:id="rId5"/>
  <ignoredErrors>
    <ignoredError sqref="D115"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DH131"/>
  <sheetViews>
    <sheetView showGridLines="0" topLeftCell="A10" zoomScaleNormal="100" workbookViewId="0">
      <pane xSplit="1" topLeftCell="B1" activePane="topRight" state="frozen"/>
      <selection pane="topRight" activeCell="D31" sqref="D31"/>
    </sheetView>
  </sheetViews>
  <sheetFormatPr defaultColWidth="11.42578125" defaultRowHeight="15" x14ac:dyDescent="0.25"/>
  <cols>
    <col min="1" max="1" width="7.140625" style="6" customWidth="1"/>
    <col min="2" max="2" width="14.140625" style="6" customWidth="1"/>
    <col min="3" max="4" width="14.140625" style="13" customWidth="1"/>
    <col min="5" max="7" width="15.5703125" style="13" customWidth="1"/>
    <col min="8" max="13" width="13" style="13" customWidth="1"/>
    <col min="14" max="20" width="15.5703125" style="13" customWidth="1"/>
    <col min="21" max="21" width="13.85546875" style="6" customWidth="1"/>
    <col min="22" max="22" width="13" style="6" customWidth="1"/>
    <col min="23" max="24" width="15.5703125" style="13" customWidth="1"/>
    <col min="25" max="25" width="13.140625" style="6" customWidth="1"/>
    <col min="26" max="26" width="10.42578125" style="6" customWidth="1"/>
    <col min="27" max="27" width="12.85546875" style="6" customWidth="1"/>
    <col min="28" max="28" width="17.140625" style="6" customWidth="1"/>
    <col min="29" max="32" width="17.140625" style="13" hidden="1" customWidth="1"/>
    <col min="33" max="33" width="17.5703125" style="13" customWidth="1"/>
    <col min="34" max="16384" width="11.42578125" style="6"/>
  </cols>
  <sheetData>
    <row r="1" spans="1:112" ht="38.25" customHeight="1" x14ac:dyDescent="0.25">
      <c r="A1" s="153" t="s">
        <v>302</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row>
    <row r="2" spans="1:112" x14ac:dyDescent="0.25">
      <c r="A2" s="16" t="s">
        <v>25</v>
      </c>
      <c r="B2" s="168" t="s">
        <v>68</v>
      </c>
      <c r="C2" s="169"/>
      <c r="D2" s="169"/>
      <c r="E2" s="169"/>
      <c r="F2" s="169"/>
      <c r="G2" s="170"/>
      <c r="H2" s="165" t="s">
        <v>118</v>
      </c>
      <c r="I2" s="166"/>
      <c r="J2" s="166"/>
      <c r="K2" s="166"/>
      <c r="L2" s="166"/>
      <c r="M2" s="166"/>
      <c r="N2" s="166"/>
      <c r="O2" s="166"/>
      <c r="P2" s="166"/>
      <c r="Q2" s="167"/>
      <c r="R2" s="178" t="s">
        <v>39</v>
      </c>
      <c r="S2" s="179"/>
      <c r="T2" s="179"/>
      <c r="U2" s="179"/>
      <c r="V2" s="179"/>
      <c r="W2" s="158" t="s">
        <v>65</v>
      </c>
      <c r="X2" s="158"/>
      <c r="Y2" s="159"/>
      <c r="Z2" s="174" t="s">
        <v>40</v>
      </c>
      <c r="AA2" s="175"/>
      <c r="AB2" s="175"/>
      <c r="AC2" s="175"/>
      <c r="AD2" s="175"/>
      <c r="AE2" s="175"/>
      <c r="AF2" s="175"/>
      <c r="AG2" s="175"/>
    </row>
    <row r="3" spans="1:112" s="13" customFormat="1" ht="15" customHeight="1" x14ac:dyDescent="0.25">
      <c r="A3" s="16"/>
      <c r="B3" s="171"/>
      <c r="C3" s="172"/>
      <c r="D3" s="172"/>
      <c r="E3" s="172"/>
      <c r="F3" s="172"/>
      <c r="G3" s="173"/>
      <c r="H3" s="162" t="s">
        <v>94</v>
      </c>
      <c r="I3" s="163"/>
      <c r="J3" s="163"/>
      <c r="K3" s="163"/>
      <c r="L3" s="162" t="s">
        <v>107</v>
      </c>
      <c r="M3" s="163"/>
      <c r="N3" s="163"/>
      <c r="O3" s="163"/>
      <c r="P3" s="163"/>
      <c r="Q3" s="164"/>
      <c r="R3" s="180"/>
      <c r="S3" s="181"/>
      <c r="T3" s="181"/>
      <c r="U3" s="181"/>
      <c r="V3" s="181"/>
      <c r="W3" s="160"/>
      <c r="X3" s="160"/>
      <c r="Y3" s="161"/>
      <c r="Z3" s="176"/>
      <c r="AA3" s="177"/>
      <c r="AB3" s="177"/>
      <c r="AC3" s="177"/>
      <c r="AD3" s="177"/>
      <c r="AE3" s="177"/>
      <c r="AF3" s="177"/>
      <c r="AG3" s="177"/>
    </row>
    <row r="4" spans="1:112" s="9" customFormat="1" ht="90" x14ac:dyDescent="0.2">
      <c r="A4" s="17" t="s">
        <v>43</v>
      </c>
      <c r="B4" s="18" t="s">
        <v>31</v>
      </c>
      <c r="C4" s="18" t="s">
        <v>59</v>
      </c>
      <c r="D4" s="18" t="s">
        <v>31</v>
      </c>
      <c r="E4" s="18" t="s">
        <v>31</v>
      </c>
      <c r="F4" s="18" t="s">
        <v>31</v>
      </c>
      <c r="G4" s="18" t="s">
        <v>250</v>
      </c>
      <c r="H4" s="34" t="s">
        <v>211</v>
      </c>
      <c r="I4" s="34" t="s">
        <v>211</v>
      </c>
      <c r="J4" s="34" t="s">
        <v>211</v>
      </c>
      <c r="K4" s="34" t="s">
        <v>211</v>
      </c>
      <c r="L4" s="34" t="s">
        <v>338</v>
      </c>
      <c r="M4" s="34" t="s">
        <v>338</v>
      </c>
      <c r="N4" s="34" t="s">
        <v>100</v>
      </c>
      <c r="O4" s="34" t="s">
        <v>100</v>
      </c>
      <c r="P4" s="34" t="s">
        <v>237</v>
      </c>
      <c r="Q4" s="34" t="s">
        <v>322</v>
      </c>
      <c r="R4" s="19" t="s">
        <v>216</v>
      </c>
      <c r="S4" s="19" t="s">
        <v>249</v>
      </c>
      <c r="T4" s="19" t="s">
        <v>252</v>
      </c>
      <c r="U4" s="19" t="s">
        <v>49</v>
      </c>
      <c r="V4" s="19" t="s">
        <v>48</v>
      </c>
      <c r="W4" s="29" t="s">
        <v>233</v>
      </c>
      <c r="X4" s="29" t="s">
        <v>233</v>
      </c>
      <c r="Y4" s="29" t="s">
        <v>233</v>
      </c>
      <c r="Z4" s="26" t="s">
        <v>19</v>
      </c>
      <c r="AA4" s="26" t="s">
        <v>4</v>
      </c>
      <c r="AB4" s="26" t="s">
        <v>4</v>
      </c>
      <c r="AC4" s="26" t="s">
        <v>231</v>
      </c>
      <c r="AD4" s="26" t="s">
        <v>231</v>
      </c>
      <c r="AE4" s="26" t="s">
        <v>231</v>
      </c>
      <c r="AF4" s="26" t="s">
        <v>231</v>
      </c>
      <c r="AG4" s="26" t="s">
        <v>232</v>
      </c>
    </row>
    <row r="5" spans="1:112" s="12" customFormat="1" ht="51" x14ac:dyDescent="0.25">
      <c r="A5" s="10" t="s">
        <v>0</v>
      </c>
      <c r="B5" s="11" t="s">
        <v>50</v>
      </c>
      <c r="C5" s="11" t="s">
        <v>11</v>
      </c>
      <c r="D5" s="11" t="s">
        <v>133</v>
      </c>
      <c r="E5" s="11" t="s">
        <v>60</v>
      </c>
      <c r="F5" s="11" t="s">
        <v>61</v>
      </c>
      <c r="G5" s="11" t="s">
        <v>251</v>
      </c>
      <c r="H5" s="11" t="s">
        <v>96</v>
      </c>
      <c r="I5" s="11" t="s">
        <v>97</v>
      </c>
      <c r="J5" s="11" t="s">
        <v>98</v>
      </c>
      <c r="K5" s="11" t="s">
        <v>101</v>
      </c>
      <c r="L5" s="11" t="s">
        <v>327</v>
      </c>
      <c r="M5" s="11" t="s">
        <v>328</v>
      </c>
      <c r="N5" s="11" t="s">
        <v>104</v>
      </c>
      <c r="O5" s="11" t="s">
        <v>212</v>
      </c>
      <c r="P5" s="109" t="s">
        <v>236</v>
      </c>
      <c r="Q5" s="11" t="s">
        <v>239</v>
      </c>
      <c r="R5" s="11" t="s">
        <v>136</v>
      </c>
      <c r="S5" s="11" t="s">
        <v>248</v>
      </c>
      <c r="T5" s="11" t="s">
        <v>74</v>
      </c>
      <c r="U5" s="11" t="s">
        <v>14</v>
      </c>
      <c r="V5" s="11" t="s">
        <v>218</v>
      </c>
      <c r="W5" s="11" t="s">
        <v>45</v>
      </c>
      <c r="X5" s="11" t="s">
        <v>75</v>
      </c>
      <c r="Y5" s="11" t="s">
        <v>46</v>
      </c>
      <c r="Z5" s="11" t="s">
        <v>26</v>
      </c>
      <c r="AA5" s="11" t="s">
        <v>16</v>
      </c>
      <c r="AB5" s="11" t="s">
        <v>17</v>
      </c>
      <c r="AC5" s="11" t="s">
        <v>223</v>
      </c>
      <c r="AD5" s="11" t="s">
        <v>225</v>
      </c>
      <c r="AE5" s="11" t="s">
        <v>226</v>
      </c>
      <c r="AF5" s="11" t="s">
        <v>227</v>
      </c>
      <c r="AG5" s="11" t="s">
        <v>141</v>
      </c>
    </row>
    <row r="6" spans="1:112" s="12" customFormat="1" ht="12.75" x14ac:dyDescent="0.25">
      <c r="A6" s="10" t="s">
        <v>9</v>
      </c>
      <c r="B6" s="11" t="s">
        <v>51</v>
      </c>
      <c r="C6" s="11" t="s">
        <v>10</v>
      </c>
      <c r="D6" s="11" t="s">
        <v>134</v>
      </c>
      <c r="E6" s="11" t="s">
        <v>33</v>
      </c>
      <c r="F6" s="11" t="s">
        <v>30</v>
      </c>
      <c r="G6" s="11" t="s">
        <v>129</v>
      </c>
      <c r="H6" s="11" t="s">
        <v>84</v>
      </c>
      <c r="I6" s="11" t="s">
        <v>85</v>
      </c>
      <c r="J6" s="11" t="s">
        <v>86</v>
      </c>
      <c r="K6" s="11" t="s">
        <v>106</v>
      </c>
      <c r="L6" s="11" t="s">
        <v>89</v>
      </c>
      <c r="M6" s="11" t="s">
        <v>90</v>
      </c>
      <c r="N6" s="11" t="s">
        <v>105</v>
      </c>
      <c r="O6" s="11" t="s">
        <v>213</v>
      </c>
      <c r="P6" s="11" t="s">
        <v>235</v>
      </c>
      <c r="Q6" s="11" t="s">
        <v>121</v>
      </c>
      <c r="R6" s="11" t="s">
        <v>128</v>
      </c>
      <c r="S6" s="11" t="s">
        <v>62</v>
      </c>
      <c r="T6" s="11" t="s">
        <v>24</v>
      </c>
      <c r="U6" s="11" t="s">
        <v>135</v>
      </c>
      <c r="V6" s="11" t="s">
        <v>23</v>
      </c>
      <c r="W6" s="11" t="s">
        <v>44</v>
      </c>
      <c r="X6" s="11" t="s">
        <v>47</v>
      </c>
      <c r="Y6" s="11" t="s">
        <v>13</v>
      </c>
      <c r="Z6" s="11" t="s">
        <v>18</v>
      </c>
      <c r="AA6" s="11" t="s">
        <v>20</v>
      </c>
      <c r="AB6" s="11" t="s">
        <v>21</v>
      </c>
      <c r="AC6" s="11" t="s">
        <v>229</v>
      </c>
      <c r="AD6" s="11" t="s">
        <v>224</v>
      </c>
      <c r="AE6" s="11" t="s">
        <v>230</v>
      </c>
      <c r="AF6" s="11" t="s">
        <v>228</v>
      </c>
      <c r="AG6" s="11" t="s">
        <v>142</v>
      </c>
    </row>
    <row r="7" spans="1:112" x14ac:dyDescent="0.25">
      <c r="A7" s="89">
        <v>2010</v>
      </c>
      <c r="B7" s="28">
        <f>Parameters!$C$3</f>
        <v>2.3E-2</v>
      </c>
      <c r="C7" s="28">
        <f>Parameters!$C$5</f>
        <v>46.486621</v>
      </c>
      <c r="D7" s="70">
        <f>Parameters!$C$19</f>
        <v>0.1</v>
      </c>
      <c r="E7" s="21">
        <f>Parameters!$C$7</f>
        <v>7.9000000000000001E-2</v>
      </c>
      <c r="F7" s="24">
        <f>Parameters!$C$6</f>
        <v>3.8</v>
      </c>
      <c r="G7" s="116">
        <f>11614/10</f>
        <v>1161.4000000000001</v>
      </c>
      <c r="H7" s="14">
        <f>Parameters!L100</f>
        <v>5558.5525120936427</v>
      </c>
      <c r="I7" s="14">
        <f>Parameters!M100</f>
        <v>30469.089209330185</v>
      </c>
      <c r="J7" s="14">
        <f>Parameters!N100</f>
        <v>47713.783904195465</v>
      </c>
      <c r="K7" s="14">
        <f>Parameters!O100</f>
        <v>166333.88279574344</v>
      </c>
      <c r="L7" s="14">
        <f>'LCOE Sensitivity Analysis'!L81+Parameters!$C$26</f>
        <v>55.392867498220582</v>
      </c>
      <c r="M7" s="14">
        <f>'LCOE Sensitivity Analysis'!M81+Parameters!$C$26</f>
        <v>73.77560210532711</v>
      </c>
      <c r="N7" s="39">
        <f>(H7+I7)/Parameters!B39</f>
        <v>0.12076844234856471</v>
      </c>
      <c r="O7" s="39">
        <f>Parameters!O100/Parameters!B100</f>
        <v>0.5575686604845248</v>
      </c>
      <c r="P7" s="111">
        <f>Parameters!P100</f>
        <v>36027641.721423827</v>
      </c>
      <c r="Q7" s="112">
        <f>(((((L7*H7)+(M7*I7))*Parameters!$C$24)/1000000)*P7)/1000000</f>
        <v>86.747353142905894</v>
      </c>
      <c r="R7" s="21">
        <f>O7</f>
        <v>0.5575686604845248</v>
      </c>
      <c r="S7" s="21">
        <f>R7*G7</f>
        <v>647.5602422867272</v>
      </c>
      <c r="T7" s="20">
        <f>Parameters!$C$11</f>
        <v>530</v>
      </c>
      <c r="U7" s="23">
        <f>T7*Parameters!$C$13</f>
        <v>0.95399999999999996</v>
      </c>
      <c r="V7" s="32">
        <f>1/(1+((U7/20.46)^2)+((U7/6081)^6754))</f>
        <v>0.99783058667694802</v>
      </c>
      <c r="W7" s="28">
        <f>((Parameters!$C$18*F7*V7)/(D7+B7))^(1/(1-Parameters!$C$21))</f>
        <v>8.8483217392581075</v>
      </c>
      <c r="X7" s="24">
        <f>V7*F7*(W7^Parameters!$C$21)</f>
        <v>9.0695297827395613</v>
      </c>
      <c r="Y7" s="23">
        <f>(1-Parameters!$C$18)*X7</f>
        <v>7.9811862088108141</v>
      </c>
      <c r="Z7" s="30">
        <f>LN(Y7)</f>
        <v>2.0770870481353931</v>
      </c>
      <c r="AA7" s="23">
        <f>1/(1+Parameters!$C$22*(A7-$A$7))</f>
        <v>1</v>
      </c>
      <c r="AB7" s="30">
        <f t="shared" ref="AB7:AB15" si="0">C7*Z7*AA7</f>
        <v>96.55675839067878</v>
      </c>
      <c r="AC7" s="32">
        <f>Parameters!$C$7</f>
        <v>7.9000000000000001E-2</v>
      </c>
      <c r="AD7" s="32">
        <f>Parameters!$C$6</f>
        <v>3.8</v>
      </c>
      <c r="AE7" s="32">
        <f>((Parameters!$C$18*AD7)/(Parameters!$C$19+B7))^(1/(1-Parameters!$C$21))</f>
        <v>8.8804073044456722</v>
      </c>
      <c r="AF7" s="30">
        <f>AD7*(AE7^Parameters!$C$21)</f>
        <v>9.1024174870568153</v>
      </c>
      <c r="AG7" s="30">
        <f>(X7-AF7)*C7</f>
        <v>-1.5288382461562486</v>
      </c>
      <c r="AH7" s="4"/>
      <c r="AI7" s="4"/>
      <c r="AJ7" s="4"/>
      <c r="AK7" s="1"/>
      <c r="AL7" s="1"/>
      <c r="AM7" s="1"/>
      <c r="AN7" s="1"/>
      <c r="AO7" s="1"/>
      <c r="AP7" s="1"/>
      <c r="AQ7" s="1"/>
      <c r="AR7" s="1"/>
      <c r="AS7" s="1"/>
      <c r="AT7" s="1"/>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row>
    <row r="8" spans="1:112" x14ac:dyDescent="0.25">
      <c r="A8" s="89">
        <v>2015</v>
      </c>
      <c r="B8" s="27">
        <f>B7/(1+Parameters!$C$4)</f>
        <v>2.1863117870722433E-2</v>
      </c>
      <c r="C8" s="28">
        <f>C7*(1+B8)</f>
        <v>47.502963474334599</v>
      </c>
      <c r="D8" s="70">
        <f>Parameters!$C$19+(Parameters!$C$20*U8)</f>
        <v>0.10126275875645595</v>
      </c>
      <c r="E8" s="25">
        <f>($E$7/((1+Parameters!$C$8)^(A8-$A$7)))-Parameters!$C$9*U8</f>
        <v>7.5409311093788539E-2</v>
      </c>
      <c r="F8" s="24">
        <f>F7*(1+E8)</f>
        <v>4.086555382156396</v>
      </c>
      <c r="G8" s="116">
        <v>1221.3</v>
      </c>
      <c r="H8" s="14">
        <f>Parameters!L101</f>
        <v>8386.0137763945277</v>
      </c>
      <c r="I8" s="14">
        <f>Parameters!M101</f>
        <v>41841.728631506485</v>
      </c>
      <c r="J8" s="14">
        <f>Parameters!N101</f>
        <v>37782.884742741669</v>
      </c>
      <c r="K8" s="14">
        <f>Parameters!O101</f>
        <v>143595.27427048469</v>
      </c>
      <c r="L8" s="14">
        <f>'LCOE Sensitivity Analysis'!L82+Parameters!$C$26</f>
        <v>54.305942309716542</v>
      </c>
      <c r="M8" s="14">
        <f>'LCOE Sensitivity Analysis'!M82+Parameters!$C$26</f>
        <v>73.070374361710009</v>
      </c>
      <c r="N8" s="39">
        <f>(H8+I8)/Parameters!B40</f>
        <v>0.18013552191454876</v>
      </c>
      <c r="O8" s="39">
        <f>Parameters!O101/Parameters!B101</f>
        <v>0.51498650815545366</v>
      </c>
      <c r="P8" s="111">
        <f>Parameters!P101</f>
        <v>50227742.407901011</v>
      </c>
      <c r="Q8" s="112">
        <f>(((((L8*H8)+(M8*I8))*Parameters!$C$24)/1000000)*P8)/1000000</f>
        <v>166.22419141982118</v>
      </c>
      <c r="R8" s="21">
        <f t="shared" ref="R8:R15" si="1">O8</f>
        <v>0.51498650815545366</v>
      </c>
      <c r="S8" s="21">
        <f t="shared" ref="S8:S15" si="2">R8*G8</f>
        <v>628.95302241025558</v>
      </c>
      <c r="T8" s="20">
        <f>T7+(S8/Parameters!$C$12)</f>
        <v>701.5326424755242</v>
      </c>
      <c r="U8" s="23">
        <f>T8*Parameters!$C$13</f>
        <v>1.2627587564559435</v>
      </c>
      <c r="V8" s="32">
        <f t="shared" ref="V8:V15" si="3">1/(1+((U8/20.46)^2)+((U8/6081)^6754))</f>
        <v>0.99620529199707142</v>
      </c>
      <c r="W8" s="28">
        <f>((Parameters!$C$18*F8*V8)/(D8+B8))^(1/(1-Parameters!$C$21))</f>
        <v>9.9440562691278505</v>
      </c>
      <c r="X8" s="24">
        <f>V8*F8*(W8^Parameters!$C$21)</f>
        <v>10.203088711386295</v>
      </c>
      <c r="Y8" s="23">
        <f>(1-Parameters!$C$18)*X8</f>
        <v>8.9787180660199404</v>
      </c>
      <c r="Z8" s="30">
        <f t="shared" ref="Z8:Z15" si="4">LN(Y8)</f>
        <v>2.1948571177829734</v>
      </c>
      <c r="AA8" s="23">
        <f>1/(1+Parameters!$C$22*(A8-$A$7))</f>
        <v>0.93023255813953487</v>
      </c>
      <c r="AB8" s="30">
        <f t="shared" si="0"/>
        <v>96.98810929993293</v>
      </c>
      <c r="AC8" s="32">
        <f>($E$7/((1+Parameters!$C$8)^(A8-$A$7)))</f>
        <v>7.6672069850244481E-2</v>
      </c>
      <c r="AD8" s="32">
        <f>AD7*(1+AC8)</f>
        <v>4.0913538654309294</v>
      </c>
      <c r="AE8" s="32">
        <f>((Parameters!$C$18*AD8)/(Parameters!$C$19+B8))^(1/(1-Parameters!$C$21))</f>
        <v>10.200622459709148</v>
      </c>
      <c r="AF8" s="30">
        <f>AD8*(AE8^Parameters!$C$21)</f>
        <v>10.358997143018955</v>
      </c>
      <c r="AG8" s="30">
        <f t="shared" ref="AG8:AG15" si="5">(X8-AF8)*C8</f>
        <v>-7.4061125331870619</v>
      </c>
      <c r="AH8" s="4"/>
      <c r="AI8" s="4"/>
      <c r="AJ8" s="4"/>
      <c r="AK8" s="1"/>
      <c r="AL8" s="1"/>
      <c r="AM8" s="1"/>
      <c r="AN8" s="1"/>
      <c r="AO8" s="1"/>
      <c r="AP8" s="1"/>
      <c r="AQ8" s="1"/>
      <c r="AR8" s="1"/>
      <c r="AS8" s="1"/>
      <c r="AT8" s="1"/>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row>
    <row r="9" spans="1:112" x14ac:dyDescent="0.25">
      <c r="A9" s="89">
        <v>2020</v>
      </c>
      <c r="B9" s="27">
        <f>B8/(1+Parameters!$C$4)</f>
        <v>2.0782431436047938E-2</v>
      </c>
      <c r="C9" s="28">
        <f>C8*(1+B9)</f>
        <v>48.490190555749045</v>
      </c>
      <c r="D9" s="70">
        <f>Parameters!$C$19+(Parameters!$C$20*U9)</f>
        <v>0.10152072875366777</v>
      </c>
      <c r="E9" s="25">
        <f>($E$7/((1+Parameters!$C$8)^(A9-$A$7)))-Parameters!$C$9*U9</f>
        <v>7.2892009159253382E-2</v>
      </c>
      <c r="F9" s="24">
        <f>F8*(1+E9)</f>
        <v>4.3844326145023356</v>
      </c>
      <c r="G9" s="116">
        <v>1227.2</v>
      </c>
      <c r="H9" s="14">
        <f>Parameters!L102</f>
        <v>13073.931472157703</v>
      </c>
      <c r="I9" s="14">
        <f>Parameters!M102</f>
        <v>54357.010173564006</v>
      </c>
      <c r="J9" s="14">
        <f>Parameters!N102</f>
        <v>30327.581326234573</v>
      </c>
      <c r="K9" s="14">
        <f>Parameters!O102</f>
        <v>105528.22231354791</v>
      </c>
      <c r="L9" s="14">
        <f>'LCOE Sensitivity Analysis'!L83+Parameters!$C$26</f>
        <v>53.241373075138632</v>
      </c>
      <c r="M9" s="14">
        <f>'LCOE Sensitivity Analysis'!M83+Parameters!$C$26</f>
        <v>72.372129071000003</v>
      </c>
      <c r="N9" s="39">
        <f>(H9+I9)/Parameters!B41</f>
        <v>0.27361719092297793</v>
      </c>
      <c r="O9" s="39">
        <f>Parameters!O102/Parameters!B102</f>
        <v>0.42820602898047311</v>
      </c>
      <c r="P9" s="111">
        <f>Parameters!P102</f>
        <v>67430941.645721704</v>
      </c>
      <c r="Q9" s="112">
        <f>(((((L9*H9)+(M9*I9))*Parameters!$C$24)/1000000)*P9)/1000000</f>
        <v>294.12899577598677</v>
      </c>
      <c r="R9" s="21">
        <f>O9</f>
        <v>0.42820602898047311</v>
      </c>
      <c r="S9" s="21">
        <f t="shared" si="2"/>
        <v>525.49443876483667</v>
      </c>
      <c r="T9" s="20">
        <f>T8+(S9/Parameters!$C$12)</f>
        <v>844.84930759320696</v>
      </c>
      <c r="U9" s="23">
        <f>T9*Parameters!$C$13</f>
        <v>1.5207287536677725</v>
      </c>
      <c r="V9" s="32">
        <f>1/(1+((U9/20.46)^2)+((U9/6081)^6754))</f>
        <v>0.99450586149562537</v>
      </c>
      <c r="W9" s="28">
        <f>((Parameters!$C$18*F9*V9)/(D9+B9))^(1/(1-Parameters!$C$21))</f>
        <v>11.274756985673012</v>
      </c>
      <c r="X9" s="24">
        <f>V9*F9*(W9^Parameters!$C$21)</f>
        <v>11.491153414324023</v>
      </c>
      <c r="Y9" s="23">
        <f>(1-Parameters!$C$18)*X9</f>
        <v>10.11221500460514</v>
      </c>
      <c r="Z9" s="30">
        <f t="shared" si="4"/>
        <v>2.3137440995009637</v>
      </c>
      <c r="AA9" s="23">
        <f>1/(1+Parameters!$C$22*(A9-$A$7))</f>
        <v>0.86956521739130443</v>
      </c>
      <c r="AB9" s="30">
        <f t="shared" si="0"/>
        <v>97.559906332210204</v>
      </c>
      <c r="AC9" s="32">
        <f>($E$7/((1+Parameters!$C$8)^(A9-$A$7)))</f>
        <v>7.4412737912921148E-2</v>
      </c>
      <c r="AD9" s="32">
        <f t="shared" ref="AD9:AD14" si="6">AD8*(1+AC9)</f>
        <v>4.395802708328258</v>
      </c>
      <c r="AE9" s="32">
        <f>((Parameters!$C$18*AD9)/(Parameters!$C$19+B9))^(1/(1-Parameters!$C$21))</f>
        <v>11.668797875491114</v>
      </c>
      <c r="AF9" s="30">
        <f>AD9*(AE9^Parameters!$C$21)</f>
        <v>11.74488149448006</v>
      </c>
      <c r="AG9" s="30">
        <f t="shared" si="5"/>
        <v>-12.303322956110607</v>
      </c>
      <c r="AH9" s="4"/>
      <c r="AI9" s="4"/>
      <c r="AJ9" s="4"/>
      <c r="AK9" s="1"/>
      <c r="AL9" s="1"/>
      <c r="AM9" s="1"/>
      <c r="AN9" s="1"/>
      <c r="AO9" s="1"/>
      <c r="AP9" s="1"/>
      <c r="AQ9" s="1"/>
      <c r="AR9" s="1"/>
      <c r="AS9" s="1"/>
      <c r="AT9" s="1"/>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row>
    <row r="10" spans="1:112" ht="21.6" customHeight="1" x14ac:dyDescent="0.25">
      <c r="A10" s="89">
        <v>2025</v>
      </c>
      <c r="B10" s="27">
        <f>B9/(1+Parameters!$C$4)</f>
        <v>1.9755162962022753E-2</v>
      </c>
      <c r="C10" s="28">
        <f>C9*(1+B10)</f>
        <v>49.448122172237404</v>
      </c>
      <c r="D10" s="70">
        <f>Parameters!$C$19+(Parameters!$C$20*U10)</f>
        <v>0.101799231129832</v>
      </c>
      <c r="E10" s="25">
        <f>($E$7/((1+Parameters!$C$8)^(A10-$A$7)))-Parameters!$C$9*U10</f>
        <v>7.0420751642413917E-2</v>
      </c>
      <c r="F10" s="24">
        <f t="shared" ref="F10:F14" si="7">F9*(1+E10)</f>
        <v>4.6931876547411049</v>
      </c>
      <c r="G10" s="116">
        <v>1401.8</v>
      </c>
      <c r="H10" s="14">
        <f>Parameters!L103</f>
        <v>18516.654293998592</v>
      </c>
      <c r="I10" s="14">
        <f>Parameters!M103</f>
        <v>69008.957429530405</v>
      </c>
      <c r="J10" s="14">
        <f>Parameters!N103</f>
        <v>28303.627304973525</v>
      </c>
      <c r="K10" s="14">
        <f>Parameters!O103</f>
        <v>113246.35374422368</v>
      </c>
      <c r="L10" s="14">
        <f>'LCOE Sensitivity Analysis'!L84+Parameters!$C$26</f>
        <v>52.198699975649987</v>
      </c>
      <c r="M10" s="14">
        <f>'LCOE Sensitivity Analysis'!M84+Parameters!$C$26</f>
        <v>71.680797100000007</v>
      </c>
      <c r="N10" s="39">
        <f>(H10+I10)/Parameters!B42</f>
        <v>0.31278988591046891</v>
      </c>
      <c r="O10" s="39">
        <f>Parameters!O103/Parameters!B103</f>
        <v>0.40470798626717797</v>
      </c>
      <c r="P10" s="111">
        <f>Parameters!P103</f>
        <v>87525611.723528996</v>
      </c>
      <c r="Q10" s="112">
        <f>(((((L10*H10)+(M10*I10))*Parameters!$C$24)/1000000)*P10)/1000000</f>
        <v>487.58682503851287</v>
      </c>
      <c r="R10" s="21">
        <f t="shared" si="1"/>
        <v>0.40470798626717797</v>
      </c>
      <c r="S10" s="21">
        <f t="shared" si="2"/>
        <v>567.31965514933006</v>
      </c>
      <c r="T10" s="20">
        <f>T9+(S10/Parameters!$C$12)</f>
        <v>999.57284990666062</v>
      </c>
      <c r="U10" s="23">
        <f>T10*Parameters!$C$13</f>
        <v>1.799231129831989</v>
      </c>
      <c r="V10" s="32">
        <f t="shared" si="3"/>
        <v>0.99232608363959429</v>
      </c>
      <c r="W10" s="28">
        <f>((Parameters!$C$18*F10*V10)/(D10+B10))^(1/(1-Parameters!$C$21))</f>
        <v>12.712223402361705</v>
      </c>
      <c r="X10" s="24">
        <f>V10*F10*(W10^Parameters!$C$21)</f>
        <v>12.876888443619778</v>
      </c>
      <c r="Y10" s="23">
        <f>(1-Parameters!$C$18)*X10</f>
        <v>11.331661830385405</v>
      </c>
      <c r="Z10" s="30">
        <f>LN(Y10)</f>
        <v>2.4276007395167589</v>
      </c>
      <c r="AA10" s="23">
        <f>1/(1+Parameters!$C$22*(A10-$A$7))</f>
        <v>0.81632653061224481</v>
      </c>
      <c r="AB10" s="30">
        <f t="shared" si="0"/>
        <v>97.992079961664118</v>
      </c>
      <c r="AC10" s="32">
        <f>($E$7/((1+Parameters!$C$8)^(A10-$A$7)))</f>
        <v>7.2219982772245908E-2</v>
      </c>
      <c r="AD10" s="32">
        <f t="shared" si="6"/>
        <v>4.713267504193916</v>
      </c>
      <c r="AE10" s="32">
        <f>((Parameters!$C$18*AD10)/(Parameters!$C$19+B10))^(1/(1-Parameters!$C$21))</f>
        <v>13.294800204738323</v>
      </c>
      <c r="AF10" s="30">
        <f>AD10*(AE10^Parameters!$C$21)</f>
        <v>13.267674708883096</v>
      </c>
      <c r="AG10" s="30">
        <f t="shared" si="5"/>
        <v>-19.323646987972893</v>
      </c>
      <c r="AH10" s="4"/>
      <c r="AI10" s="4"/>
      <c r="AJ10" s="4"/>
      <c r="AK10" s="1"/>
      <c r="AL10" s="1"/>
      <c r="AM10" s="1"/>
      <c r="AN10" s="1"/>
      <c r="AO10" s="1"/>
      <c r="AP10" s="1"/>
      <c r="AQ10" s="1"/>
      <c r="AR10" s="1"/>
      <c r="AS10" s="1"/>
      <c r="AT10" s="1"/>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row>
    <row r="11" spans="1:112" x14ac:dyDescent="0.25">
      <c r="A11" s="89">
        <v>2030</v>
      </c>
      <c r="B11" s="27">
        <f>B10/(1+Parameters!$C$4)</f>
        <v>1.8778672017131893E-2</v>
      </c>
      <c r="C11" s="28">
        <f>C10*(1+B11)</f>
        <v>50.376692240372918</v>
      </c>
      <c r="D11" s="70">
        <f>Parameters!$C$19+(Parameters!$C$20*U11)</f>
        <v>0.10206610003587943</v>
      </c>
      <c r="E11" s="25">
        <f>($E$7/((1+Parameters!$C$8)^(A11-$A$7)))-Parameters!$C$9*U11</f>
        <v>6.8025742542564757E-2</v>
      </c>
      <c r="F11" s="24">
        <f t="shared" si="7"/>
        <v>5.0124452298464668</v>
      </c>
      <c r="G11" s="116">
        <v>1481.4</v>
      </c>
      <c r="H11" s="14">
        <f>Parameters!L104</f>
        <v>25251.137040251506</v>
      </c>
      <c r="I11" s="14">
        <f>Parameters!M104</f>
        <v>83824.725597992176</v>
      </c>
      <c r="J11" s="14">
        <f>Parameters!N104</f>
        <v>26809.43530220192</v>
      </c>
      <c r="K11" s="14">
        <f>Parameters!O104</f>
        <v>108794.19158191619</v>
      </c>
      <c r="L11" s="14">
        <f>'LCOE Sensitivity Analysis'!L85+Parameters!$C$26</f>
        <v>51.177472649999991</v>
      </c>
      <c r="M11" s="14">
        <f>'LCOE Sensitivity Analysis'!M85+Parameters!$C$26</f>
        <v>70.996310000000008</v>
      </c>
      <c r="N11" s="39">
        <f>(H11+I11)/Parameters!B43</f>
        <v>0.36791501084981137</v>
      </c>
      <c r="O11" s="39">
        <f>Parameters!O104/Parameters!B104</f>
        <v>0.36696492888632049</v>
      </c>
      <c r="P11" s="111">
        <f>Parameters!P104</f>
        <v>109075862.63824368</v>
      </c>
      <c r="Q11" s="112">
        <f>(((((L11*H11)+(M11*I11))*Parameters!$C$24)/1000000)*P11)/1000000</f>
        <v>744.34839764247226</v>
      </c>
      <c r="R11" s="21">
        <f t="shared" si="1"/>
        <v>0.36696492888632049</v>
      </c>
      <c r="S11" s="21">
        <f>R11*G11</f>
        <v>543.62184565219525</v>
      </c>
      <c r="T11" s="20">
        <f>T10+(S11/Parameters!$C$12)</f>
        <v>1147.8333532663503</v>
      </c>
      <c r="U11" s="23">
        <f>T11*Parameters!$C$13</f>
        <v>2.0661000358794306</v>
      </c>
      <c r="V11" s="32">
        <f t="shared" si="3"/>
        <v>0.98990549179490395</v>
      </c>
      <c r="W11" s="28">
        <f>((Parameters!$C$18*F11*V11)/(D11+B11))^(1/(1-Parameters!$C$21))</f>
        <v>14.266844302825898</v>
      </c>
      <c r="X11" s="24">
        <f>V11*F11*(W11^Parameters!$C$21)</f>
        <v>14.367279564089992</v>
      </c>
      <c r="Y11" s="23">
        <f>(1-Parameters!$C$18)*X11</f>
        <v>12.643206016399194</v>
      </c>
      <c r="Z11" s="30">
        <f t="shared" si="4"/>
        <v>2.5371199970952993</v>
      </c>
      <c r="AA11" s="23">
        <f>1/(1+Parameters!$C$22*(A11-$A$7))</f>
        <v>0.76923076923076916</v>
      </c>
      <c r="AB11" s="30">
        <f t="shared" si="0"/>
        <v>98.316702515819784</v>
      </c>
      <c r="AC11" s="32">
        <f>($E$7/((1+Parameters!$C$8)^(A11-$A$7)))</f>
        <v>7.0091842578444183E-2</v>
      </c>
      <c r="AD11" s="32">
        <f t="shared" si="6"/>
        <v>5.0436291081279725</v>
      </c>
      <c r="AE11" s="32">
        <f>((Parameters!$C$18*AD11)/(Parameters!$C$19+B11))^(1/(1-Parameters!$C$21))</f>
        <v>15.088400566858871</v>
      </c>
      <c r="AF11" s="30">
        <f>AD11*(AE11^Parameters!$C$21)</f>
        <v>14.934834851616968</v>
      </c>
      <c r="AG11" s="30">
        <f>(X11-AF11)*C11</f>
        <v>-28.59155804914279</v>
      </c>
      <c r="AH11" s="4"/>
      <c r="AI11" s="4"/>
      <c r="AJ11" s="4"/>
      <c r="AK11" s="1"/>
      <c r="AL11" s="1"/>
      <c r="AM11" s="1"/>
      <c r="AN11" s="1"/>
      <c r="AO11" s="1"/>
      <c r="AP11" s="1"/>
      <c r="AQ11" s="1"/>
      <c r="AR11" s="1"/>
      <c r="AS11" s="1"/>
      <c r="AT11" s="1"/>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row>
    <row r="12" spans="1:112" x14ac:dyDescent="0.25">
      <c r="A12" s="89">
        <v>2035</v>
      </c>
      <c r="B12" s="27">
        <f>B11/(1+Parameters!$C$4)</f>
        <v>1.7850448685486589E-2</v>
      </c>
      <c r="C12" s="28">
        <f t="shared" ref="C12:C14" si="8">C11*(1+B12)</f>
        <v>51.27593880015425</v>
      </c>
      <c r="D12" s="70">
        <f>Parameters!$C$19+(Parameters!$C$20*U12)</f>
        <v>0.1023413204750253</v>
      </c>
      <c r="E12" s="25">
        <f>($E$7/((1+Parameters!$C$8)^(A12-$A$7)))-Parameters!$C$9*U12</f>
        <v>6.5685092817466012E-2</v>
      </c>
      <c r="F12" s="24">
        <f t="shared" si="7"/>
        <v>5.3416881600113966</v>
      </c>
      <c r="G12" s="116">
        <v>1574.3</v>
      </c>
      <c r="H12" s="14">
        <f>Parameters!L105</f>
        <v>30841.43856212396</v>
      </c>
      <c r="I12" s="14">
        <f>Parameters!M105</f>
        <v>88720.961258236348</v>
      </c>
      <c r="J12" s="14">
        <f>Parameters!N105</f>
        <v>27417.751690707621</v>
      </c>
      <c r="K12" s="14">
        <f>Parameters!O105</f>
        <v>109529.20940741168</v>
      </c>
      <c r="L12" s="14">
        <f>'LCOE Sensitivity Analysis'!L86+Parameters!$C$26</f>
        <v>50.177249999999994</v>
      </c>
      <c r="M12" s="14">
        <f>'LCOE Sensitivity Analysis'!M86+Parameters!$C$26</f>
        <v>70.318600000000004</v>
      </c>
      <c r="N12" s="39">
        <f>(H12+I12)/Parameters!B44</f>
        <v>0.3887378102355602</v>
      </c>
      <c r="O12" s="39">
        <f>Parameters!O105/Parameters!B105</f>
        <v>0.35611651393617055</v>
      </c>
      <c r="P12" s="111">
        <f>Parameters!P105</f>
        <v>119562399.82036032</v>
      </c>
      <c r="Q12" s="112">
        <f>(((((L12*H12)+(M12*I12))*Parameters!$C$24)/1000000)*P12)/1000000</f>
        <v>877.0436697696872</v>
      </c>
      <c r="R12" s="21">
        <f t="shared" si="1"/>
        <v>0.35611651393617055</v>
      </c>
      <c r="S12" s="21">
        <f t="shared" si="2"/>
        <v>560.63422788971332</v>
      </c>
      <c r="T12" s="20">
        <f>T11+(S12/Parameters!$C$12)</f>
        <v>1300.7335972362721</v>
      </c>
      <c r="U12" s="23">
        <f>T12*Parameters!$C$13</f>
        <v>2.3413204750252898</v>
      </c>
      <c r="V12" s="32">
        <f t="shared" si="3"/>
        <v>0.98707411668033873</v>
      </c>
      <c r="W12" s="28">
        <f>((Parameters!$C$18*F12*V12)/(D12+B12))^(1/(1-Parameters!$C$21))</f>
        <v>15.93032691987487</v>
      </c>
      <c r="X12" s="24">
        <f>V12*F12*(W12^Parameters!$C$21)</f>
        <v>15.95578479837574</v>
      </c>
      <c r="Y12" s="23">
        <f>(1-Parameters!$C$18)*X12</f>
        <v>14.041090622570652</v>
      </c>
      <c r="Z12" s="30">
        <f t="shared" si="4"/>
        <v>2.6419880752510299</v>
      </c>
      <c r="AA12" s="23">
        <f>1/(1+Parameters!$C$22*(A12-$A$7))</f>
        <v>0.72727272727272729</v>
      </c>
      <c r="AB12" s="30">
        <f t="shared" si="0"/>
        <v>98.523940987133926</v>
      </c>
      <c r="AC12" s="32">
        <f>($E$7/((1+Parameters!$C$8)^(A12-$A$7)))</f>
        <v>6.8026413292491303E-2</v>
      </c>
      <c r="AD12" s="32">
        <f t="shared" si="6"/>
        <v>5.3867291063315248</v>
      </c>
      <c r="AE12" s="32">
        <f>((Parameters!$C$18*AD12)/(Parameters!$C$19+B12))^(1/(1-Parameters!$C$21))</f>
        <v>17.059196401642374</v>
      </c>
      <c r="AF12" s="30">
        <f>AD12*(AE12^Parameters!$C$21)</f>
        <v>16.753616251228273</v>
      </c>
      <c r="AG12" s="30">
        <f t="shared" si="5"/>
        <v>-40.90955674930462</v>
      </c>
      <c r="AH12" s="4"/>
      <c r="AI12" s="4"/>
      <c r="AJ12" s="4"/>
      <c r="AK12" s="1"/>
      <c r="AL12" s="1"/>
      <c r="AM12" s="1"/>
      <c r="AN12" s="1"/>
      <c r="AO12" s="1"/>
      <c r="AP12" s="1"/>
      <c r="AQ12" s="1"/>
      <c r="AR12" s="1"/>
      <c r="AS12" s="1"/>
      <c r="AT12" s="1"/>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row>
    <row r="13" spans="1:112" x14ac:dyDescent="0.25">
      <c r="A13" s="89">
        <v>2040</v>
      </c>
      <c r="B13" s="27">
        <f>B12/(1+Parameters!$C$4)</f>
        <v>1.6968107115481548E-2</v>
      </c>
      <c r="C13" s="28">
        <f t="shared" si="8"/>
        <v>52.14599442216214</v>
      </c>
      <c r="D13" s="70">
        <f>Parameters!$C$19+(Parameters!$C$20*U13)</f>
        <v>0.10262575218117806</v>
      </c>
      <c r="E13" s="25">
        <f>($E$7/((1+Parameters!$C$8)^(A13-$A$7)))-Parameters!$C$9*U13</f>
        <v>6.3396094801397809E-2</v>
      </c>
      <c r="F13" s="24">
        <f t="shared" si="7"/>
        <v>5.6803303290029836</v>
      </c>
      <c r="G13" s="116">
        <v>1689.8</v>
      </c>
      <c r="H13" s="14">
        <f>Parameters!L106</f>
        <v>40047.510127462956</v>
      </c>
      <c r="I13" s="14">
        <f>Parameters!M106</f>
        <v>93085.905105475351</v>
      </c>
      <c r="J13" s="14">
        <f>Parameters!N106</f>
        <v>26999.348392488035</v>
      </c>
      <c r="K13" s="14">
        <f>Parameters!O106</f>
        <v>109594.80931686585</v>
      </c>
      <c r="L13" s="14">
        <f>'LCOE Sensitivity Analysis'!L87+Parameters!$C$26</f>
        <v>49.197600000000001</v>
      </c>
      <c r="M13" s="14">
        <f>'LCOE Sensitivity Analysis'!M87+Parameters!$C$26</f>
        <v>69.647599999999997</v>
      </c>
      <c r="N13" s="39">
        <f>(H13+I13)/Parameters!B45</f>
        <v>0.41652273706444615</v>
      </c>
      <c r="O13" s="39">
        <f>Parameters!O106/Parameters!B106</f>
        <v>0.34287958334763097</v>
      </c>
      <c r="P13" s="111">
        <f>Parameters!P106</f>
        <v>133133415.2329383</v>
      </c>
      <c r="Q13" s="112">
        <f>(((((L13*H13)+(M13*I13))*Parameters!$C$24)/1000000)*P13)/1000000</f>
        <v>1060.2740449887765</v>
      </c>
      <c r="R13" s="21">
        <f t="shared" si="1"/>
        <v>0.34287958334763097</v>
      </c>
      <c r="S13" s="21">
        <f t="shared" si="2"/>
        <v>579.3979199408268</v>
      </c>
      <c r="T13" s="20">
        <f>T12+(S13/Parameters!$C$12)</f>
        <v>1458.7512117655886</v>
      </c>
      <c r="U13" s="23">
        <f>T13*Parameters!$C$13</f>
        <v>2.6257521811780595</v>
      </c>
      <c r="V13" s="32">
        <f t="shared" si="3"/>
        <v>0.98379676975360431</v>
      </c>
      <c r="W13" s="28">
        <f>((Parameters!$C$18*F13*V13)/(D13+B13))^(1/(1-Parameters!$C$21))</f>
        <v>17.69778504264308</v>
      </c>
      <c r="X13" s="24">
        <f>V13*F13*(W13^Parameters!$C$21)</f>
        <v>17.637886785436528</v>
      </c>
      <c r="Y13" s="23">
        <f>(1-Parameters!$C$18)*X13</f>
        <v>15.521340371184145</v>
      </c>
      <c r="Z13" s="30">
        <f t="shared" si="4"/>
        <v>2.7422158751485961</v>
      </c>
      <c r="AA13" s="23">
        <f>1/(1+Parameters!$C$22*(A13-$A$7))</f>
        <v>0.68965517241379315</v>
      </c>
      <c r="AB13" s="30">
        <f t="shared" si="0"/>
        <v>98.617637055078049</v>
      </c>
      <c r="AC13" s="32">
        <f>($E$7/((1+Parameters!$C$8)^(A13-$A$7)))</f>
        <v>6.6021846982575863E-2</v>
      </c>
      <c r="AD13" s="32">
        <f t="shared" si="6"/>
        <v>5.7423709111263328</v>
      </c>
      <c r="AE13" s="32">
        <f>((Parameters!$C$18*AD13)/(Parameters!$C$19+B13))^(1/(1-Parameters!$C$21))</f>
        <v>19.216533266315089</v>
      </c>
      <c r="AF13" s="30">
        <f>AD13*(AE13^Parameters!$C$21)</f>
        <v>18.731012679021322</v>
      </c>
      <c r="AG13" s="30">
        <f t="shared" si="5"/>
        <v>-57.002136749593689</v>
      </c>
      <c r="AH13" s="4"/>
      <c r="AI13" s="4"/>
      <c r="AJ13" s="4"/>
      <c r="AK13" s="1"/>
      <c r="AL13" s="1"/>
      <c r="AM13" s="1"/>
      <c r="AN13" s="1"/>
      <c r="AO13" s="1"/>
      <c r="AP13" s="1"/>
      <c r="AQ13" s="1"/>
      <c r="AR13" s="1"/>
      <c r="AS13" s="1"/>
      <c r="AT13" s="1"/>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row>
    <row r="14" spans="1:112" x14ac:dyDescent="0.25">
      <c r="A14" s="89">
        <v>2045</v>
      </c>
      <c r="B14" s="27">
        <f>B13/(1+Parameters!$C$4)</f>
        <v>1.6129379387339875E-2</v>
      </c>
      <c r="C14" s="28">
        <f t="shared" si="8"/>
        <v>52.987076949727296</v>
      </c>
      <c r="D14" s="70">
        <f>Parameters!$C$19+(Parameters!$C$20*U14)</f>
        <v>0.10293067655400162</v>
      </c>
      <c r="E14" s="25">
        <f>($E$7/((1+Parameters!$C$8)^(A14-$A$7)))-Parameters!$C$9*U14</f>
        <v>6.1145673616760557E-2</v>
      </c>
      <c r="F14" s="24">
        <f t="shared" si="7"/>
        <v>6.0276579533355861</v>
      </c>
      <c r="G14" s="116">
        <v>1814.7</v>
      </c>
      <c r="H14" s="14">
        <f>Parameters!L107</f>
        <v>44337.715047500649</v>
      </c>
      <c r="I14" s="14">
        <f>Parameters!M107</f>
        <v>93999.633500415643</v>
      </c>
      <c r="J14" s="14">
        <f>Parameters!N107</f>
        <v>26873.274494908906</v>
      </c>
      <c r="K14" s="14">
        <f>Parameters!O107</f>
        <v>111849.62140998572</v>
      </c>
      <c r="L14" s="14">
        <f>'LCOE Sensitivity Analysis'!L88+Parameters!$C$26</f>
        <v>48.217950000000002</v>
      </c>
      <c r="M14" s="14">
        <f>'LCOE Sensitivity Analysis'!M88+Parameters!$C$26</f>
        <v>68.976599999999991</v>
      </c>
      <c r="N14" s="39">
        <f>(H14+I14)/Parameters!B46</f>
        <v>0.42334180229015295</v>
      </c>
      <c r="O14" s="39">
        <f>Parameters!O107/Parameters!B107</f>
        <v>0.34228370581190998</v>
      </c>
      <c r="P14" s="111">
        <f>Parameters!P107</f>
        <v>138337348.54791626</v>
      </c>
      <c r="Q14" s="112">
        <f>(((((L14*H14)+(M14*I14))*Parameters!$C$24)/1000000)*P14)/1000000</f>
        <v>1123.638940845686</v>
      </c>
      <c r="R14" s="21">
        <f t="shared" si="1"/>
        <v>0.34228370581190998</v>
      </c>
      <c r="S14" s="21">
        <f t="shared" si="2"/>
        <v>621.14224093687301</v>
      </c>
      <c r="T14" s="20">
        <f>T13+(S14/Parameters!$C$12)</f>
        <v>1628.1536411120085</v>
      </c>
      <c r="U14" s="23">
        <f>T14*Parameters!$C$13</f>
        <v>2.9306765540016153</v>
      </c>
      <c r="V14" s="32">
        <f t="shared" si="3"/>
        <v>0.97989500066933555</v>
      </c>
      <c r="W14" s="28">
        <f>((Parameters!$C$18*F14*V14)/(D14+B14))^(1/(1-Parameters!$C$21))</f>
        <v>19.554145504921543</v>
      </c>
      <c r="X14" s="24">
        <f>V14*F14*(W14^Parameters!$C$21)</f>
        <v>19.400980480842421</v>
      </c>
      <c r="Y14" s="23">
        <f>(1-Parameters!$C$18)*X14</f>
        <v>17.072862823141332</v>
      </c>
      <c r="Z14" s="30">
        <f t="shared" si="4"/>
        <v>2.8374902335318914</v>
      </c>
      <c r="AA14" s="23">
        <f>1/(1+Parameters!$C$22*(A14-$A$7))</f>
        <v>0.65573770491803285</v>
      </c>
      <c r="AB14" s="30">
        <f t="shared" si="0"/>
        <v>98.590369408691174</v>
      </c>
      <c r="AC14" s="32">
        <f>($E$7/((1+Parameters!$C$8)^(A14-$A$7)))</f>
        <v>6.4076350170762172E-2</v>
      </c>
      <c r="AD14" s="32">
        <f t="shared" si="6"/>
        <v>6.1103210804380623</v>
      </c>
      <c r="AE14" s="32">
        <f>((Parameters!$C$18*AD14)/(Parameters!$C$19+B14))^(1/(1-Parameters!$C$21))</f>
        <v>21.56942765521903</v>
      </c>
      <c r="AF14" s="30">
        <f>AD14*(AE14^Parameters!$C$21)</f>
        <v>20.873702061172605</v>
      </c>
      <c r="AG14" s="30">
        <f t="shared" si="5"/>
        <v>-78.035211702479444</v>
      </c>
      <c r="AH14" s="4"/>
      <c r="AI14" s="4"/>
      <c r="AJ14" s="4"/>
      <c r="AK14" s="1"/>
      <c r="AL14" s="1"/>
      <c r="AM14" s="1"/>
      <c r="AN14" s="1"/>
      <c r="AO14" s="1"/>
      <c r="AP14" s="1"/>
      <c r="AQ14" s="1"/>
      <c r="AR14" s="1"/>
      <c r="AS14" s="1"/>
      <c r="AT14" s="1"/>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row>
    <row r="15" spans="1:112" x14ac:dyDescent="0.25">
      <c r="A15" s="89">
        <v>2050</v>
      </c>
      <c r="B15" s="27">
        <f>B14/(1+Parameters!$C$4)</f>
        <v>1.533210968378315E-2</v>
      </c>
      <c r="C15" s="28">
        <f>C14*(1+B15)</f>
        <v>53.79948062534357</v>
      </c>
      <c r="D15" s="70">
        <f>Parameters!$C$19+(Parameters!$C$20*U15)</f>
        <v>0.10325361634932678</v>
      </c>
      <c r="E15" s="25">
        <f>($E$7/((1+Parameters!$C$8)^(A15-$A$7)))-Parameters!$C$9*U15</f>
        <v>5.8934565879045407E-2</v>
      </c>
      <c r="F15" s="24">
        <f>F14*(1+E15)</f>
        <v>6.3828953580827941</v>
      </c>
      <c r="G15" s="116">
        <v>1946.6</v>
      </c>
      <c r="H15" s="14">
        <f>Parameters!L108</f>
        <v>49844.4204311781</v>
      </c>
      <c r="I15" s="14">
        <f>Parameters!M108</f>
        <v>96212.05947954471</v>
      </c>
      <c r="J15" s="14">
        <f>Parameters!N108</f>
        <v>26070.174619450077</v>
      </c>
      <c r="K15" s="14">
        <f>Parameters!O108</f>
        <v>113149.13320620049</v>
      </c>
      <c r="L15" s="14">
        <f>'LCOE Sensitivity Analysis'!L89+Parameters!$C$26</f>
        <v>47.258872650000001</v>
      </c>
      <c r="M15" s="14">
        <f>'LCOE Sensitivity Analysis'!M89+Parameters!$C$26</f>
        <v>68.312309999999997</v>
      </c>
      <c r="N15" s="39">
        <f>(H15+I15)/Parameters!B47</f>
        <v>0.4362278314272795</v>
      </c>
      <c r="O15" s="39">
        <f>Parameters!O108/Parameters!B108</f>
        <v>0.3379432465891814</v>
      </c>
      <c r="P15" s="111">
        <f>Parameters!P108</f>
        <v>146056479.91072282</v>
      </c>
      <c r="Q15" s="112">
        <f>(((((L15*H15)+(M15*I15))*Parameters!$C$24)/1000000)*P15)/1000000</f>
        <v>1228.4992402952803</v>
      </c>
      <c r="R15" s="21">
        <f t="shared" si="1"/>
        <v>0.3379432465891814</v>
      </c>
      <c r="S15" s="21">
        <f t="shared" si="2"/>
        <v>657.84032381050054</v>
      </c>
      <c r="T15" s="20">
        <f>T14+(S15/Parameters!$C$12)</f>
        <v>1807.5646385148723</v>
      </c>
      <c r="U15" s="23">
        <f>T15*Parameters!$C$13</f>
        <v>3.2536163493267702</v>
      </c>
      <c r="V15" s="32">
        <f t="shared" si="3"/>
        <v>0.97533532603309203</v>
      </c>
      <c r="W15" s="28">
        <f>((Parameters!$C$18*F15*V15)/(D15+B15))^(1/(1-Parameters!$C$21))</f>
        <v>21.488240049628136</v>
      </c>
      <c r="X15" s="24">
        <f>V15*F15*(W15^Parameters!$C$21)</f>
        <v>21.23498789549086</v>
      </c>
      <c r="Y15" s="23">
        <f>(1-Parameters!$C$18)*X15</f>
        <v>18.686789348031958</v>
      </c>
      <c r="Z15" s="30">
        <f t="shared" si="4"/>
        <v>2.9278168222288561</v>
      </c>
      <c r="AA15" s="23">
        <f>1/(1+Parameters!$C$22*(A15-$A$7))</f>
        <v>0.625</v>
      </c>
      <c r="AB15" s="30">
        <f t="shared" si="0"/>
        <v>98.446890251285197</v>
      </c>
      <c r="AC15" s="32">
        <f>($E$7/((1+Parameters!$C$8)^(A15-$A$7)))</f>
        <v>6.2188182228372177E-2</v>
      </c>
      <c r="AD15" s="32">
        <f>AD14*(1+AC15)</f>
        <v>6.4903108412622075</v>
      </c>
      <c r="AE15" s="32">
        <f>((Parameters!$C$18*AD15)/(Parameters!$C$19+B15))^(1/(1-Parameters!$C$21))</f>
        <v>24.126491887025566</v>
      </c>
      <c r="AF15" s="30">
        <f>AD15*(AE15^Parameters!$C$21)</f>
        <v>23.187993404994479</v>
      </c>
      <c r="AG15" s="30">
        <f t="shared" si="5"/>
        <v>-105.0706820697292</v>
      </c>
      <c r="AH15" s="4"/>
      <c r="AI15" s="4"/>
      <c r="AJ15" s="4"/>
      <c r="AK15" s="1"/>
      <c r="AL15" s="1"/>
      <c r="AM15" s="1"/>
      <c r="AN15" s="1"/>
      <c r="AO15" s="1"/>
      <c r="AP15" s="1"/>
      <c r="AQ15" s="1"/>
      <c r="AR15" s="1"/>
      <c r="AS15" s="1"/>
      <c r="AT15" s="1"/>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row>
    <row r="16" spans="1:112" ht="152.25" customHeight="1" x14ac:dyDescent="0.25">
      <c r="A16" s="3"/>
      <c r="B16" s="4"/>
      <c r="C16" s="4"/>
      <c r="D16" s="4"/>
      <c r="E16" s="4"/>
      <c r="F16" s="4"/>
      <c r="G16" s="4"/>
      <c r="H16" s="4"/>
      <c r="I16" s="4"/>
      <c r="J16" s="4"/>
      <c r="K16" s="4"/>
      <c r="L16" s="155" t="s">
        <v>339</v>
      </c>
      <c r="M16" s="156"/>
      <c r="N16" s="157"/>
      <c r="O16" s="4"/>
      <c r="P16" s="4"/>
      <c r="Q16" s="4"/>
      <c r="R16" s="4"/>
      <c r="S16" s="4"/>
      <c r="T16" s="4"/>
      <c r="U16" s="4"/>
      <c r="V16" s="4"/>
      <c r="W16" s="4" t="s">
        <v>117</v>
      </c>
      <c r="X16" s="4"/>
      <c r="Y16" s="7"/>
      <c r="Z16" s="7"/>
      <c r="AA16" s="33" t="s">
        <v>78</v>
      </c>
      <c r="AB16" s="88">
        <f>SUM(AB7:AB15)</f>
        <v>881.59239420249401</v>
      </c>
      <c r="AC16" s="108"/>
      <c r="AD16" s="108"/>
      <c r="AE16" s="108"/>
      <c r="AF16" s="108"/>
      <c r="AG16" s="76"/>
      <c r="AH16" s="4"/>
      <c r="AI16" s="4"/>
      <c r="AJ16" s="4"/>
      <c r="AK16" s="1"/>
      <c r="AL16" s="1"/>
      <c r="AM16" s="1"/>
      <c r="AN16" s="1"/>
      <c r="AO16" s="1"/>
      <c r="AP16" s="1"/>
      <c r="AQ16" s="1"/>
      <c r="AR16" s="1"/>
      <c r="AS16" s="1"/>
      <c r="AT16" s="1"/>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row>
    <row r="17" spans="1:112" x14ac:dyDescent="0.25">
      <c r="A17" s="3"/>
      <c r="B17" s="4"/>
      <c r="C17" s="4"/>
      <c r="D17" s="4"/>
      <c r="E17" s="4"/>
      <c r="F17" s="4"/>
      <c r="G17" s="4"/>
      <c r="H17" s="4"/>
      <c r="I17" s="4"/>
      <c r="J17" s="4"/>
      <c r="K17" s="4"/>
      <c r="L17" s="4"/>
      <c r="M17" s="4"/>
      <c r="N17" s="4"/>
      <c r="O17" s="4"/>
      <c r="P17" s="4"/>
      <c r="Q17" s="4"/>
      <c r="R17" s="4"/>
      <c r="S17" s="4"/>
      <c r="T17" s="4"/>
      <c r="U17" s="4"/>
      <c r="V17" s="4"/>
      <c r="W17" s="4"/>
      <c r="X17" s="4"/>
      <c r="Y17" s="7"/>
      <c r="Z17" s="7"/>
      <c r="AA17" s="4"/>
      <c r="AB17" s="4"/>
      <c r="AC17" s="4"/>
      <c r="AD17" s="4"/>
      <c r="AE17" s="4"/>
      <c r="AF17" s="4"/>
      <c r="AG17" s="4"/>
      <c r="AH17" s="4"/>
      <c r="AI17" s="4"/>
      <c r="AJ17" s="4"/>
      <c r="AK17" s="1"/>
      <c r="AL17" s="1"/>
      <c r="AM17" s="1"/>
      <c r="AN17" s="1"/>
      <c r="AO17" s="1"/>
      <c r="AP17" s="1"/>
      <c r="AQ17" s="1"/>
      <c r="AR17" s="1"/>
      <c r="AS17" s="1"/>
      <c r="AT17" s="1"/>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row>
    <row r="18" spans="1:112" x14ac:dyDescent="0.25">
      <c r="A18" s="3"/>
      <c r="B18" s="4"/>
      <c r="C18" s="4"/>
      <c r="D18" s="4"/>
      <c r="E18" s="4"/>
      <c r="F18" s="4"/>
      <c r="G18" s="4"/>
      <c r="H18" s="4"/>
      <c r="I18" s="4"/>
      <c r="J18" s="4"/>
      <c r="K18" s="4"/>
      <c r="L18" s="4"/>
      <c r="M18" s="4"/>
      <c r="N18" s="4"/>
      <c r="O18" s="4"/>
      <c r="P18" s="4"/>
      <c r="Q18" s="4"/>
      <c r="R18" s="4"/>
      <c r="S18" s="4"/>
      <c r="T18" s="4"/>
      <c r="U18" s="4"/>
      <c r="V18" s="4"/>
      <c r="W18" s="4"/>
      <c r="X18" s="4"/>
      <c r="Y18" s="7"/>
      <c r="Z18" s="7"/>
      <c r="AA18" s="4"/>
      <c r="AB18" s="4"/>
      <c r="AC18" s="4"/>
      <c r="AD18" s="4"/>
      <c r="AE18" s="4"/>
      <c r="AF18" s="4"/>
      <c r="AG18" s="4"/>
      <c r="AH18" s="4"/>
      <c r="AI18" s="4"/>
      <c r="AJ18" s="4"/>
      <c r="AK18" s="1"/>
      <c r="AL18" s="1"/>
      <c r="AM18" s="1"/>
      <c r="AN18" s="1"/>
      <c r="AO18" s="1"/>
      <c r="AP18" s="1"/>
      <c r="AQ18" s="1"/>
      <c r="AR18" s="1"/>
      <c r="AS18" s="1"/>
      <c r="AT18" s="1"/>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row>
    <row r="19" spans="1:112" x14ac:dyDescent="0.25">
      <c r="A19" s="3"/>
      <c r="B19" s="4"/>
      <c r="C19" s="4"/>
      <c r="D19" s="4"/>
      <c r="E19" s="4"/>
      <c r="F19" s="4"/>
      <c r="G19" s="4"/>
      <c r="H19" s="4"/>
      <c r="I19" s="4"/>
      <c r="J19" s="4"/>
      <c r="K19" s="4"/>
      <c r="L19" s="4"/>
      <c r="M19" s="4"/>
      <c r="N19" s="4"/>
      <c r="O19" s="4"/>
      <c r="P19" s="4"/>
      <c r="Q19" s="4"/>
      <c r="R19" s="4"/>
      <c r="S19" s="4"/>
      <c r="T19" s="4"/>
      <c r="U19" s="4"/>
      <c r="V19" s="4"/>
      <c r="W19" s="4"/>
      <c r="X19" s="4"/>
      <c r="Y19" s="7"/>
      <c r="Z19" s="7"/>
      <c r="AA19" s="4"/>
      <c r="AB19" s="4"/>
      <c r="AC19" s="4"/>
      <c r="AD19" s="4"/>
      <c r="AE19" s="4"/>
      <c r="AF19" s="4"/>
      <c r="AG19" s="4"/>
      <c r="AH19" s="4"/>
      <c r="AI19" s="4"/>
      <c r="AJ19" s="4"/>
      <c r="AK19" s="1"/>
      <c r="AL19" s="1"/>
      <c r="AM19" s="1"/>
      <c r="AN19" s="1"/>
      <c r="AO19" s="1"/>
      <c r="AP19" s="1"/>
      <c r="AQ19" s="1"/>
      <c r="AR19" s="1"/>
      <c r="AS19" s="1"/>
      <c r="AT19" s="1"/>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row>
    <row r="20" spans="1:112" x14ac:dyDescent="0.25">
      <c r="A20" s="3"/>
      <c r="B20" s="4"/>
      <c r="C20" s="4"/>
      <c r="D20" s="4"/>
      <c r="E20" s="4"/>
      <c r="F20" s="4"/>
      <c r="G20" s="4"/>
      <c r="H20" s="4"/>
      <c r="I20" s="4"/>
      <c r="J20" s="4"/>
      <c r="K20" s="4"/>
      <c r="L20" s="4"/>
      <c r="M20" s="4"/>
      <c r="N20" s="4"/>
      <c r="O20" s="4"/>
      <c r="P20" s="4"/>
      <c r="Q20" s="4"/>
      <c r="R20" s="4"/>
      <c r="S20" s="4"/>
      <c r="T20" s="4" t="s">
        <v>117</v>
      </c>
      <c r="U20" s="4"/>
      <c r="V20" s="4"/>
      <c r="W20" s="4"/>
      <c r="X20" s="4"/>
      <c r="Y20" s="7"/>
      <c r="Z20" s="7"/>
      <c r="AA20" s="4"/>
      <c r="AB20" s="4"/>
      <c r="AC20" s="4"/>
      <c r="AD20" s="4"/>
      <c r="AE20" s="4"/>
      <c r="AF20" s="4"/>
      <c r="AG20" s="4"/>
      <c r="AH20" s="4"/>
      <c r="AI20" s="4"/>
      <c r="AJ20" s="4"/>
      <c r="AK20" s="1"/>
      <c r="AL20" s="1"/>
      <c r="AM20" s="1"/>
      <c r="AN20" s="1"/>
      <c r="AO20" s="1"/>
      <c r="AP20" s="1"/>
      <c r="AQ20" s="1"/>
      <c r="AR20" s="1"/>
      <c r="AS20" s="1"/>
      <c r="AT20" s="1"/>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row>
    <row r="21" spans="1:112" x14ac:dyDescent="0.25">
      <c r="A21" s="3"/>
      <c r="B21" s="4"/>
      <c r="C21" s="4"/>
      <c r="D21" s="4"/>
      <c r="E21" s="4" t="s">
        <v>117</v>
      </c>
      <c r="F21" s="4"/>
      <c r="G21" s="4"/>
      <c r="H21" s="4"/>
      <c r="I21" s="4"/>
      <c r="J21" s="4"/>
      <c r="K21" s="4"/>
      <c r="L21" s="4"/>
      <c r="M21" s="4"/>
      <c r="N21" s="4"/>
      <c r="O21" s="4"/>
      <c r="P21" s="4"/>
      <c r="Q21" s="4" t="s">
        <v>117</v>
      </c>
      <c r="R21" s="4"/>
      <c r="S21" s="4"/>
      <c r="T21" s="4"/>
      <c r="U21" s="4"/>
      <c r="V21" s="4"/>
      <c r="W21" s="4"/>
      <c r="X21" s="4"/>
      <c r="Y21" s="7"/>
      <c r="Z21" s="7"/>
      <c r="AA21" s="4"/>
      <c r="AB21" s="4"/>
      <c r="AC21" s="4"/>
      <c r="AD21" s="4"/>
      <c r="AE21" s="4"/>
      <c r="AF21" s="4"/>
      <c r="AG21" s="4"/>
      <c r="AH21" s="4"/>
      <c r="AI21" s="4"/>
      <c r="AJ21" s="4"/>
      <c r="AK21" s="1"/>
      <c r="AL21" s="1"/>
      <c r="AM21" s="1"/>
      <c r="AN21" s="1"/>
      <c r="AO21" s="1"/>
      <c r="AP21" s="1"/>
      <c r="AQ21" s="1"/>
      <c r="AR21" s="1"/>
      <c r="AS21" s="1"/>
      <c r="AT21" s="1"/>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row>
    <row r="22" spans="1:112" x14ac:dyDescent="0.25">
      <c r="A22" s="3"/>
      <c r="B22" s="4"/>
      <c r="C22" s="4"/>
      <c r="D22" s="4"/>
      <c r="E22" s="4"/>
      <c r="F22" s="4" t="s">
        <v>117</v>
      </c>
      <c r="G22" s="4"/>
      <c r="H22" s="4"/>
      <c r="I22" s="4"/>
      <c r="J22" s="4"/>
      <c r="K22" s="4"/>
      <c r="L22" s="4"/>
      <c r="M22" s="4"/>
      <c r="N22" s="4"/>
      <c r="O22" s="4"/>
      <c r="P22" s="4"/>
      <c r="Q22" s="4"/>
      <c r="R22" s="4"/>
      <c r="S22" s="4"/>
      <c r="T22" s="4"/>
      <c r="U22" s="4"/>
      <c r="V22" s="4"/>
      <c r="W22" s="4"/>
      <c r="X22" s="4"/>
      <c r="Y22" s="7"/>
      <c r="Z22" s="7"/>
      <c r="AA22" s="4"/>
      <c r="AB22" s="4"/>
      <c r="AC22" s="4"/>
      <c r="AD22" s="4"/>
      <c r="AE22" s="4"/>
      <c r="AF22" s="4"/>
      <c r="AG22" s="4"/>
      <c r="AH22" s="4"/>
      <c r="AI22" s="4"/>
      <c r="AJ22" s="4"/>
      <c r="AK22" s="1"/>
      <c r="AL22" s="1"/>
      <c r="AM22" s="1"/>
      <c r="AN22" s="1"/>
      <c r="AO22" s="1"/>
      <c r="AP22" s="1"/>
      <c r="AQ22" s="1"/>
      <c r="AR22" s="1"/>
      <c r="AS22" s="1"/>
      <c r="AT22" s="1"/>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row>
    <row r="23" spans="1:112" x14ac:dyDescent="0.25">
      <c r="A23" s="3"/>
      <c r="B23" s="4"/>
      <c r="C23" s="4"/>
      <c r="D23" s="4"/>
      <c r="E23" s="4"/>
      <c r="F23" s="4"/>
      <c r="G23" s="4"/>
      <c r="H23" s="4"/>
      <c r="I23" s="4"/>
      <c r="J23" s="4"/>
      <c r="K23" s="4"/>
      <c r="L23" s="4"/>
      <c r="M23" s="4"/>
      <c r="N23" s="4"/>
      <c r="O23" s="4"/>
      <c r="P23" s="4"/>
      <c r="Q23" s="4"/>
      <c r="R23" s="4"/>
      <c r="S23" s="4"/>
      <c r="T23" s="4"/>
      <c r="U23" s="4"/>
      <c r="V23" s="4"/>
      <c r="W23" s="4"/>
      <c r="X23" s="4"/>
      <c r="Y23" s="7"/>
      <c r="Z23" s="7"/>
      <c r="AA23" s="4"/>
      <c r="AB23" s="4"/>
      <c r="AC23" s="4"/>
      <c r="AD23" s="4"/>
      <c r="AE23" s="4"/>
      <c r="AF23" s="4"/>
      <c r="AG23" s="4"/>
      <c r="AH23" s="4"/>
      <c r="AI23" s="4"/>
      <c r="AJ23" s="4"/>
      <c r="AK23" s="1"/>
      <c r="AL23" s="1"/>
      <c r="AM23" s="1"/>
      <c r="AN23" s="1"/>
      <c r="AO23" s="1"/>
      <c r="AP23" s="1"/>
      <c r="AQ23" s="1"/>
      <c r="AR23" s="1"/>
      <c r="AS23" s="1"/>
      <c r="AT23" s="1"/>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row>
    <row r="24" spans="1:112" x14ac:dyDescent="0.25">
      <c r="A24" s="3"/>
      <c r="B24" s="4"/>
      <c r="C24" s="4"/>
      <c r="D24" s="4"/>
      <c r="E24" s="4"/>
      <c r="F24" s="4"/>
      <c r="G24" s="4"/>
      <c r="H24" s="4"/>
      <c r="I24" s="4"/>
      <c r="J24" s="4"/>
      <c r="K24" s="4"/>
      <c r="L24" s="4"/>
      <c r="M24" s="4"/>
      <c r="N24" s="4"/>
      <c r="O24" s="4"/>
      <c r="P24" s="4"/>
      <c r="Q24" s="4"/>
      <c r="R24" s="4"/>
      <c r="S24" s="4"/>
      <c r="T24" s="4"/>
      <c r="U24" s="4"/>
      <c r="V24" s="4"/>
      <c r="W24" s="4"/>
      <c r="X24" s="4"/>
      <c r="Y24" s="7"/>
      <c r="Z24" s="7"/>
      <c r="AA24" s="4"/>
      <c r="AB24" s="4"/>
      <c r="AC24" s="4"/>
      <c r="AD24" s="4"/>
      <c r="AE24" s="4"/>
      <c r="AF24" s="4"/>
      <c r="AG24" s="4"/>
      <c r="AH24" s="4"/>
      <c r="AI24" s="4"/>
      <c r="AJ24" s="4"/>
      <c r="AK24" s="1"/>
      <c r="AL24" s="1"/>
      <c r="AM24" s="1"/>
      <c r="AN24" s="1"/>
      <c r="AO24" s="1"/>
      <c r="AP24" s="1"/>
      <c r="AQ24" s="1"/>
      <c r="AR24" s="1"/>
      <c r="AS24" s="1"/>
      <c r="AT24" s="1"/>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row>
    <row r="25" spans="1:112" x14ac:dyDescent="0.25">
      <c r="A25" s="3"/>
      <c r="B25" s="4"/>
      <c r="C25" s="4"/>
      <c r="D25" s="4"/>
      <c r="E25" s="4"/>
      <c r="F25" s="4"/>
      <c r="G25" s="4"/>
      <c r="H25" s="4"/>
      <c r="I25" s="4"/>
      <c r="J25" s="4"/>
      <c r="K25" s="4"/>
      <c r="L25" s="4"/>
      <c r="M25" s="4"/>
      <c r="N25" s="4"/>
      <c r="O25" s="4"/>
      <c r="P25" s="4"/>
      <c r="Q25" s="4"/>
      <c r="R25" s="4"/>
      <c r="S25" s="4"/>
      <c r="T25" s="4"/>
      <c r="U25" s="4"/>
      <c r="V25" s="4"/>
      <c r="W25" s="4"/>
      <c r="X25" s="4"/>
      <c r="Y25" s="7"/>
      <c r="Z25" s="7"/>
      <c r="AA25" s="4"/>
      <c r="AB25" s="4"/>
      <c r="AC25" s="4"/>
      <c r="AD25" s="4"/>
      <c r="AE25" s="4"/>
      <c r="AF25" s="4"/>
      <c r="AG25" s="4"/>
      <c r="AH25" s="4"/>
      <c r="AI25" s="4"/>
      <c r="AJ25" s="4"/>
      <c r="AK25" s="1"/>
      <c r="AL25" s="1"/>
      <c r="AM25" s="1"/>
      <c r="AN25" s="1"/>
      <c r="AO25" s="1"/>
      <c r="AP25" s="1"/>
      <c r="AQ25" s="1"/>
      <c r="AR25" s="1"/>
      <c r="AS25" s="1"/>
      <c r="AT25" s="1"/>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row>
    <row r="26" spans="1:112" x14ac:dyDescent="0.25">
      <c r="A26" s="3"/>
      <c r="B26" s="4"/>
      <c r="C26" s="4"/>
      <c r="D26" s="4"/>
      <c r="E26" s="4"/>
      <c r="F26" s="4"/>
      <c r="G26" s="4"/>
      <c r="H26" s="4"/>
      <c r="I26" s="4"/>
      <c r="J26" s="4"/>
      <c r="K26" s="4"/>
      <c r="L26" s="4"/>
      <c r="M26" s="4"/>
      <c r="N26" s="4"/>
      <c r="O26" s="4"/>
      <c r="P26" s="4"/>
      <c r="Q26" s="4"/>
      <c r="R26" s="4"/>
      <c r="S26" s="4"/>
      <c r="T26" s="4"/>
      <c r="U26" s="4"/>
      <c r="V26" s="4"/>
      <c r="W26" s="4"/>
      <c r="X26" s="4"/>
      <c r="Y26" s="7"/>
      <c r="Z26" s="7"/>
      <c r="AA26" s="4"/>
      <c r="AB26" s="4"/>
      <c r="AC26" s="4"/>
      <c r="AD26" s="4"/>
      <c r="AE26" s="4"/>
      <c r="AF26" s="4"/>
      <c r="AG26" s="4"/>
      <c r="AH26" s="4"/>
      <c r="AI26" s="4"/>
      <c r="AJ26" s="4"/>
      <c r="AK26" s="1"/>
      <c r="AL26" s="1"/>
      <c r="AM26" s="1"/>
      <c r="AN26" s="1"/>
      <c r="AO26" s="1"/>
      <c r="AP26" s="1"/>
      <c r="AQ26" s="1"/>
      <c r="AR26" s="1"/>
      <c r="AS26" s="1"/>
      <c r="AT26" s="1"/>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row>
    <row r="27" spans="1:112" x14ac:dyDescent="0.25">
      <c r="A27" s="3"/>
      <c r="B27" s="4"/>
      <c r="C27" s="4"/>
      <c r="D27" s="4"/>
      <c r="E27" s="4"/>
      <c r="F27" s="4"/>
      <c r="G27" s="4"/>
      <c r="H27" s="4"/>
      <c r="I27" s="4"/>
      <c r="J27" s="4"/>
      <c r="K27" s="4"/>
      <c r="L27" s="4"/>
      <c r="M27" s="4"/>
      <c r="N27" s="4"/>
      <c r="O27" s="4"/>
      <c r="P27" s="4"/>
      <c r="Q27" s="4"/>
      <c r="R27" s="4"/>
      <c r="S27" s="4"/>
      <c r="T27" s="4"/>
      <c r="U27" s="4"/>
      <c r="V27" s="4"/>
      <c r="W27" s="4"/>
      <c r="X27" s="4"/>
      <c r="Y27" s="7"/>
      <c r="Z27" s="7"/>
      <c r="AA27" s="4"/>
      <c r="AB27" s="4"/>
      <c r="AC27" s="4"/>
      <c r="AD27" s="4"/>
      <c r="AE27" s="4"/>
      <c r="AF27" s="4"/>
      <c r="AG27" s="4"/>
      <c r="AH27" s="4"/>
      <c r="AI27" s="4"/>
      <c r="AJ27" s="4"/>
      <c r="AK27" s="1"/>
      <c r="AL27" s="1"/>
      <c r="AM27" s="1"/>
      <c r="AN27" s="1"/>
      <c r="AO27" s="1"/>
      <c r="AP27" s="1"/>
      <c r="AQ27" s="1"/>
      <c r="AR27" s="1"/>
      <c r="AS27" s="1"/>
      <c r="AT27" s="1"/>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row>
    <row r="28" spans="1:112" x14ac:dyDescent="0.25">
      <c r="A28" s="3"/>
      <c r="B28" s="4"/>
      <c r="C28" s="4"/>
      <c r="D28" s="4"/>
      <c r="E28" s="4"/>
      <c r="F28" s="4"/>
      <c r="G28" s="4"/>
      <c r="H28" s="4"/>
      <c r="I28" s="4"/>
      <c r="J28" s="4"/>
      <c r="K28" s="4"/>
      <c r="L28" s="4"/>
      <c r="M28" s="4"/>
      <c r="N28" s="4"/>
      <c r="O28" s="4"/>
      <c r="P28" s="4"/>
      <c r="Q28" s="4"/>
      <c r="R28" s="4"/>
      <c r="S28" s="4"/>
      <c r="T28" s="4"/>
      <c r="U28" s="4"/>
      <c r="V28" s="4"/>
      <c r="W28" s="4"/>
      <c r="X28" s="4"/>
      <c r="Y28" s="7"/>
      <c r="Z28" s="7"/>
      <c r="AA28" s="4"/>
      <c r="AB28" s="4"/>
      <c r="AC28" s="4"/>
      <c r="AD28" s="4"/>
      <c r="AE28" s="4"/>
      <c r="AF28" s="4"/>
      <c r="AG28" s="4"/>
      <c r="AH28" s="4"/>
      <c r="AI28" s="4"/>
      <c r="AJ28" s="4"/>
      <c r="AK28" s="1"/>
      <c r="AL28" s="1"/>
      <c r="AM28" s="1"/>
      <c r="AN28" s="1"/>
      <c r="AO28" s="1"/>
      <c r="AP28" s="1"/>
      <c r="AQ28" s="1"/>
      <c r="AR28" s="1"/>
      <c r="AS28" s="1"/>
      <c r="AT28" s="1"/>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row>
    <row r="29" spans="1:112" x14ac:dyDescent="0.25">
      <c r="A29" s="3"/>
      <c r="B29" s="4"/>
      <c r="C29" s="4"/>
      <c r="D29" s="4"/>
      <c r="E29" s="4"/>
      <c r="F29" s="4"/>
      <c r="G29" s="4"/>
      <c r="H29" s="4"/>
      <c r="I29" s="4"/>
      <c r="J29" s="4"/>
      <c r="K29" s="4"/>
      <c r="L29" s="4"/>
      <c r="M29" s="4"/>
      <c r="N29" s="4"/>
      <c r="O29" s="4"/>
      <c r="P29" s="4"/>
      <c r="Q29" s="4"/>
      <c r="R29" s="4"/>
      <c r="S29" s="4"/>
      <c r="T29" s="4"/>
      <c r="U29" s="4"/>
      <c r="V29" s="4"/>
      <c r="W29" s="4"/>
      <c r="X29" s="4"/>
      <c r="Y29" s="7"/>
      <c r="Z29" s="7"/>
      <c r="AA29" s="4"/>
      <c r="AB29" s="4"/>
      <c r="AC29" s="4"/>
      <c r="AD29" s="4"/>
      <c r="AE29" s="4"/>
      <c r="AF29" s="4"/>
      <c r="AG29" s="4"/>
      <c r="AH29" s="4"/>
      <c r="AI29" s="4"/>
      <c r="AJ29" s="4"/>
      <c r="AK29" s="1"/>
      <c r="AL29" s="1"/>
      <c r="AM29" s="1"/>
      <c r="AN29" s="1"/>
      <c r="AO29" s="1"/>
      <c r="AP29" s="1"/>
      <c r="AQ29" s="1"/>
      <c r="AR29" s="1"/>
      <c r="AS29" s="1"/>
      <c r="AT29" s="1"/>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row>
    <row r="30" spans="1:112" x14ac:dyDescent="0.25">
      <c r="A30" s="3"/>
      <c r="B30" s="4"/>
      <c r="C30" s="4"/>
      <c r="D30" s="4"/>
      <c r="E30" s="4"/>
      <c r="F30" s="4"/>
      <c r="G30" s="4"/>
      <c r="H30" s="4"/>
      <c r="I30" s="4"/>
      <c r="J30" s="4"/>
      <c r="K30" s="4"/>
      <c r="L30" s="4"/>
      <c r="M30" s="4"/>
      <c r="N30" s="4"/>
      <c r="O30" s="4"/>
      <c r="P30" s="4"/>
      <c r="Q30" s="4"/>
      <c r="R30" s="4"/>
      <c r="S30" s="4"/>
      <c r="T30" s="4"/>
      <c r="U30" s="4"/>
      <c r="V30" s="4"/>
      <c r="W30" s="4"/>
      <c r="X30" s="4"/>
      <c r="Y30" s="7"/>
      <c r="Z30" s="7"/>
      <c r="AA30" s="4"/>
      <c r="AB30" s="4"/>
      <c r="AC30" s="4"/>
      <c r="AD30" s="4"/>
      <c r="AE30" s="4"/>
      <c r="AF30" s="4"/>
      <c r="AG30" s="4"/>
      <c r="AH30" s="4"/>
      <c r="AI30" s="4"/>
      <c r="AJ30" s="4"/>
      <c r="AK30" s="1"/>
      <c r="AL30" s="1"/>
      <c r="AM30" s="1"/>
      <c r="AN30" s="1"/>
      <c r="AO30" s="1"/>
      <c r="AP30" s="1"/>
      <c r="AQ30" s="1"/>
      <c r="AR30" s="1"/>
      <c r="AS30" s="1"/>
      <c r="AT30" s="1"/>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row>
    <row r="31" spans="1:112" x14ac:dyDescent="0.25">
      <c r="A31" s="3"/>
      <c r="B31" s="4"/>
      <c r="C31" s="4"/>
      <c r="D31" s="4"/>
      <c r="E31" s="4"/>
      <c r="F31" s="4"/>
      <c r="G31" s="4"/>
      <c r="H31" s="4"/>
      <c r="I31" s="4"/>
      <c r="J31" s="4"/>
      <c r="K31" s="4"/>
      <c r="L31" s="4"/>
      <c r="M31" s="4"/>
      <c r="N31" s="4"/>
      <c r="O31" s="4"/>
      <c r="P31" s="4"/>
      <c r="Q31" s="4"/>
      <c r="R31" s="4"/>
      <c r="S31" s="4"/>
      <c r="T31" s="4"/>
      <c r="U31" s="4"/>
      <c r="V31" s="4"/>
      <c r="W31" s="4"/>
      <c r="X31" s="4"/>
      <c r="Y31" s="7"/>
      <c r="Z31" s="7"/>
      <c r="AA31" s="4"/>
      <c r="AB31" s="4"/>
      <c r="AC31" s="4"/>
      <c r="AD31" s="4"/>
      <c r="AE31" s="4"/>
      <c r="AF31" s="4"/>
      <c r="AG31" s="4"/>
      <c r="AH31" s="4"/>
      <c r="AI31" s="4"/>
      <c r="AJ31" s="4"/>
      <c r="AK31" s="1"/>
      <c r="AL31" s="1"/>
      <c r="AM31" s="1"/>
      <c r="AN31" s="1"/>
      <c r="AO31" s="1"/>
      <c r="AP31" s="1"/>
      <c r="AQ31" s="1"/>
      <c r="AR31" s="1"/>
      <c r="AS31" s="1"/>
      <c r="AT31" s="1"/>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row>
    <row r="32" spans="1:112" x14ac:dyDescent="0.25">
      <c r="A32" s="3"/>
      <c r="B32" s="4"/>
      <c r="C32" s="4"/>
      <c r="D32" s="4"/>
      <c r="E32" s="4"/>
      <c r="F32" s="4"/>
      <c r="G32" s="4"/>
      <c r="H32" s="4"/>
      <c r="I32" s="4"/>
      <c r="J32" s="4"/>
      <c r="K32" s="4"/>
      <c r="L32" s="4"/>
      <c r="M32" s="4"/>
      <c r="N32" s="4"/>
      <c r="O32" s="4"/>
      <c r="P32" s="4"/>
      <c r="Q32" s="4"/>
      <c r="R32" s="4"/>
      <c r="S32" s="4"/>
      <c r="T32" s="4"/>
      <c r="U32" s="4"/>
      <c r="V32" s="4"/>
      <c r="W32" s="4"/>
      <c r="X32" s="4"/>
      <c r="Y32" s="7"/>
      <c r="Z32" s="7"/>
      <c r="AA32" s="4"/>
      <c r="AB32" s="4"/>
      <c r="AC32" s="4"/>
      <c r="AD32" s="4"/>
      <c r="AE32" s="4"/>
      <c r="AF32" s="4"/>
      <c r="AG32" s="4"/>
      <c r="AH32" s="4"/>
      <c r="AI32" s="4"/>
      <c r="AJ32" s="4"/>
      <c r="AK32" s="1"/>
      <c r="AL32" s="1"/>
      <c r="AM32" s="1"/>
      <c r="AN32" s="1"/>
      <c r="AO32" s="1"/>
      <c r="AP32" s="1"/>
      <c r="AQ32" s="1"/>
      <c r="AR32" s="1"/>
      <c r="AS32" s="1"/>
      <c r="AT32" s="1"/>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row>
    <row r="33" spans="1:112" x14ac:dyDescent="0.25">
      <c r="A33" s="3"/>
      <c r="B33" s="4"/>
      <c r="C33" s="4"/>
      <c r="D33" s="4"/>
      <c r="E33" s="4"/>
      <c r="F33" s="4"/>
      <c r="G33" s="4"/>
      <c r="H33" s="4"/>
      <c r="I33" s="4"/>
      <c r="J33" s="4"/>
      <c r="K33" s="4"/>
      <c r="L33" s="4"/>
      <c r="M33" s="4"/>
      <c r="N33" s="4"/>
      <c r="O33" s="4"/>
      <c r="P33" s="4"/>
      <c r="Q33" s="4"/>
      <c r="R33" s="4"/>
      <c r="S33" s="4"/>
      <c r="T33" s="4"/>
      <c r="U33" s="4"/>
      <c r="V33" s="4"/>
      <c r="W33" s="4"/>
      <c r="X33" s="4"/>
      <c r="Y33" s="7"/>
      <c r="Z33" s="7"/>
      <c r="AA33" s="4"/>
      <c r="AB33" s="4"/>
      <c r="AC33" s="4"/>
      <c r="AD33" s="4"/>
      <c r="AE33" s="4"/>
      <c r="AF33" s="4"/>
      <c r="AG33" s="4"/>
      <c r="AH33" s="4"/>
      <c r="AI33" s="4"/>
      <c r="AJ33" s="4"/>
      <c r="AK33" s="1"/>
      <c r="AL33" s="1"/>
      <c r="AM33" s="1"/>
      <c r="AN33" s="1"/>
      <c r="AO33" s="1"/>
      <c r="AP33" s="1"/>
      <c r="AQ33" s="1"/>
      <c r="AR33" s="1"/>
      <c r="AS33" s="1"/>
      <c r="AT33" s="1"/>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row>
    <row r="34" spans="1:112" x14ac:dyDescent="0.25">
      <c r="A34" s="3"/>
      <c r="B34" s="4"/>
      <c r="C34" s="4"/>
      <c r="D34" s="4"/>
      <c r="E34" s="4"/>
      <c r="F34" s="4"/>
      <c r="G34" s="4"/>
      <c r="H34" s="4"/>
      <c r="I34" s="4"/>
      <c r="J34" s="4"/>
      <c r="K34" s="4"/>
      <c r="L34" s="4"/>
      <c r="M34" s="4"/>
      <c r="N34" s="4"/>
      <c r="O34" s="4"/>
      <c r="P34" s="4"/>
      <c r="Q34" s="4"/>
      <c r="R34" s="4"/>
      <c r="S34" s="4"/>
      <c r="T34" s="4"/>
      <c r="U34" s="4"/>
      <c r="V34" s="4"/>
      <c r="W34" s="4"/>
      <c r="X34" s="4"/>
      <c r="Y34" s="7"/>
      <c r="Z34" s="7"/>
      <c r="AA34" s="4"/>
      <c r="AB34" s="4"/>
      <c r="AC34" s="4"/>
      <c r="AD34" s="4"/>
      <c r="AE34" s="4"/>
      <c r="AF34" s="4"/>
      <c r="AG34" s="4"/>
      <c r="AH34" s="4"/>
      <c r="AI34" s="4"/>
      <c r="AJ34" s="4"/>
      <c r="AK34" s="1"/>
      <c r="AL34" s="1"/>
      <c r="AM34" s="1"/>
      <c r="AN34" s="1"/>
      <c r="AO34" s="1"/>
      <c r="AP34" s="1"/>
      <c r="AQ34" s="1"/>
      <c r="AR34" s="1"/>
      <c r="AS34" s="1"/>
      <c r="AT34" s="1"/>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row>
    <row r="35" spans="1:112" x14ac:dyDescent="0.25">
      <c r="A35" s="3"/>
      <c r="B35" s="4"/>
      <c r="C35" s="4"/>
      <c r="D35" s="4"/>
      <c r="E35" s="4"/>
      <c r="F35" s="4"/>
      <c r="G35" s="4"/>
      <c r="H35" s="4"/>
      <c r="I35" s="4"/>
      <c r="J35" s="4"/>
      <c r="K35" s="4"/>
      <c r="L35" s="4"/>
      <c r="M35" s="4"/>
      <c r="N35" s="4"/>
      <c r="O35" s="4"/>
      <c r="P35" s="4"/>
      <c r="Q35" s="4"/>
      <c r="R35" s="4"/>
      <c r="S35" s="4"/>
      <c r="T35" s="4"/>
      <c r="U35" s="4"/>
      <c r="V35" s="4"/>
      <c r="W35" s="4"/>
      <c r="X35" s="4"/>
      <c r="Y35" s="7"/>
      <c r="Z35" s="7"/>
      <c r="AA35" s="4"/>
      <c r="AB35" s="4"/>
      <c r="AC35" s="4"/>
      <c r="AD35" s="4"/>
      <c r="AE35" s="4"/>
      <c r="AF35" s="4"/>
      <c r="AG35" s="4"/>
      <c r="AH35" s="4"/>
      <c r="AI35" s="4"/>
      <c r="AJ35" s="4"/>
      <c r="AK35" s="1"/>
      <c r="AL35" s="1"/>
      <c r="AM35" s="1"/>
      <c r="AN35" s="1"/>
      <c r="AO35" s="1"/>
      <c r="AP35" s="1"/>
      <c r="AQ35" s="1"/>
      <c r="AR35" s="1"/>
      <c r="AS35" s="1"/>
      <c r="AT35" s="1"/>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row>
    <row r="36" spans="1:112" x14ac:dyDescent="0.25">
      <c r="A36" s="3"/>
      <c r="B36" s="4"/>
      <c r="C36" s="4"/>
      <c r="D36" s="4"/>
      <c r="E36" s="4"/>
      <c r="F36" s="4"/>
      <c r="G36" s="4"/>
      <c r="H36" s="4"/>
      <c r="I36" s="4"/>
      <c r="J36" s="4"/>
      <c r="K36" s="4"/>
      <c r="L36" s="4"/>
      <c r="M36" s="4"/>
      <c r="N36" s="4"/>
      <c r="O36" s="4"/>
      <c r="P36" s="4"/>
      <c r="Q36" s="4"/>
      <c r="R36" s="4"/>
      <c r="S36" s="4"/>
      <c r="T36" s="4"/>
      <c r="U36" s="4"/>
      <c r="V36" s="4"/>
      <c r="W36" s="4"/>
      <c r="X36" s="4"/>
      <c r="Y36" s="7"/>
      <c r="Z36" s="7"/>
      <c r="AA36" s="4"/>
      <c r="AB36" s="4"/>
      <c r="AC36" s="4"/>
      <c r="AD36" s="4"/>
      <c r="AE36" s="4"/>
      <c r="AF36" s="4"/>
      <c r="AG36" s="4"/>
      <c r="AH36" s="4"/>
      <c r="AI36" s="4"/>
      <c r="AJ36" s="4"/>
      <c r="AK36" s="1"/>
      <c r="AL36" s="1"/>
      <c r="AM36" s="1"/>
      <c r="AN36" s="1"/>
      <c r="AO36" s="1"/>
      <c r="AP36" s="1"/>
      <c r="AQ36" s="1"/>
      <c r="AR36" s="1"/>
      <c r="AS36" s="1"/>
      <c r="AT36" s="1"/>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row>
    <row r="37" spans="1:112" x14ac:dyDescent="0.25">
      <c r="A37" s="3"/>
      <c r="B37" s="4"/>
      <c r="C37" s="4"/>
      <c r="D37" s="4"/>
      <c r="E37" s="4"/>
      <c r="F37" s="4"/>
      <c r="G37" s="4"/>
      <c r="H37" s="4"/>
      <c r="I37" s="4"/>
      <c r="J37" s="4"/>
      <c r="K37" s="4"/>
      <c r="L37" s="4"/>
      <c r="M37" s="4"/>
      <c r="N37" s="4"/>
      <c r="O37" s="4"/>
      <c r="P37" s="4"/>
      <c r="Q37" s="4"/>
      <c r="R37" s="4"/>
      <c r="S37" s="4"/>
      <c r="T37" s="4"/>
      <c r="U37" s="4"/>
      <c r="V37" s="4"/>
      <c r="W37" s="4"/>
      <c r="X37" s="4"/>
      <c r="Y37" s="7"/>
      <c r="Z37" s="7"/>
      <c r="AA37" s="4"/>
      <c r="AB37" s="4"/>
      <c r="AC37" s="4"/>
      <c r="AD37" s="4"/>
      <c r="AE37" s="4"/>
      <c r="AF37" s="4"/>
      <c r="AG37" s="4"/>
      <c r="AH37" s="4"/>
      <c r="AI37" s="4"/>
      <c r="AJ37" s="4"/>
      <c r="AK37" s="1"/>
      <c r="AL37" s="1"/>
      <c r="AM37" s="1"/>
      <c r="AN37" s="1"/>
      <c r="AO37" s="1"/>
      <c r="AP37" s="1"/>
      <c r="AQ37" s="1"/>
      <c r="AR37" s="1"/>
      <c r="AS37" s="1"/>
      <c r="AT37" s="1"/>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row>
    <row r="38" spans="1:112" x14ac:dyDescent="0.25">
      <c r="A38" s="3"/>
      <c r="B38" s="4"/>
      <c r="C38" s="4"/>
      <c r="D38" s="4"/>
      <c r="E38" s="4"/>
      <c r="F38" s="4"/>
      <c r="G38" s="4"/>
      <c r="H38" s="4"/>
      <c r="I38" s="4"/>
      <c r="J38" s="4"/>
      <c r="K38" s="4"/>
      <c r="L38" s="4"/>
      <c r="M38" s="4"/>
      <c r="N38" s="4"/>
      <c r="O38" s="4"/>
      <c r="P38" s="4"/>
      <c r="Q38" s="4"/>
      <c r="R38" s="4"/>
      <c r="S38" s="4"/>
      <c r="T38" s="4"/>
      <c r="U38" s="4"/>
      <c r="V38" s="4"/>
      <c r="W38" s="4"/>
      <c r="X38" s="4"/>
      <c r="Y38" s="7"/>
      <c r="Z38" s="7"/>
      <c r="AA38" s="4"/>
      <c r="AB38" s="4"/>
      <c r="AC38" s="4"/>
      <c r="AD38" s="4"/>
      <c r="AE38" s="4"/>
      <c r="AF38" s="4"/>
      <c r="AG38" s="4"/>
      <c r="AH38" s="4"/>
      <c r="AI38" s="4"/>
      <c r="AJ38" s="4"/>
      <c r="AK38" s="1"/>
      <c r="AL38" s="1"/>
      <c r="AM38" s="1"/>
      <c r="AN38" s="1"/>
      <c r="AO38" s="1"/>
      <c r="AP38" s="1"/>
      <c r="AQ38" s="1"/>
      <c r="AR38" s="1"/>
      <c r="AS38" s="1"/>
      <c r="AT38" s="1"/>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row>
    <row r="39" spans="1:112" x14ac:dyDescent="0.25">
      <c r="A39" s="3"/>
      <c r="B39" s="4"/>
      <c r="C39" s="4"/>
      <c r="D39" s="4"/>
      <c r="E39" s="4"/>
      <c r="F39" s="4"/>
      <c r="G39" s="4"/>
      <c r="H39" s="4"/>
      <c r="I39" s="4"/>
      <c r="J39" s="4"/>
      <c r="K39" s="4"/>
      <c r="L39" s="4"/>
      <c r="M39" s="4"/>
      <c r="N39" s="4"/>
      <c r="O39" s="4"/>
      <c r="P39" s="4"/>
      <c r="Q39" s="4"/>
      <c r="R39" s="4"/>
      <c r="S39" s="4"/>
      <c r="T39" s="4"/>
      <c r="U39" s="4"/>
      <c r="V39" s="4"/>
      <c r="W39" s="4"/>
      <c r="X39" s="4"/>
      <c r="Y39" s="7"/>
      <c r="Z39" s="7"/>
      <c r="AA39" s="4"/>
      <c r="AB39" s="4"/>
      <c r="AC39" s="4"/>
      <c r="AD39" s="4"/>
      <c r="AE39" s="4"/>
      <c r="AF39" s="4"/>
      <c r="AG39" s="4"/>
      <c r="AH39" s="4"/>
      <c r="AI39" s="4"/>
      <c r="AJ39" s="4"/>
      <c r="AK39" s="1"/>
      <c r="AL39" s="1"/>
      <c r="AM39" s="1"/>
      <c r="AN39" s="1"/>
      <c r="AO39" s="1"/>
      <c r="AP39" s="1"/>
      <c r="AQ39" s="1"/>
      <c r="AR39" s="1"/>
      <c r="AS39" s="1"/>
      <c r="AT39" s="1"/>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row>
    <row r="40" spans="1:112" x14ac:dyDescent="0.25">
      <c r="A40" s="3"/>
      <c r="B40" s="4"/>
      <c r="C40" s="4"/>
      <c r="D40" s="4"/>
      <c r="E40" s="4"/>
      <c r="F40" s="4"/>
      <c r="G40" s="4"/>
      <c r="H40" s="4"/>
      <c r="I40" s="4"/>
      <c r="J40" s="4"/>
      <c r="K40" s="4"/>
      <c r="L40" s="4"/>
      <c r="M40" s="4"/>
      <c r="N40" s="4"/>
      <c r="O40" s="4"/>
      <c r="P40" s="4"/>
      <c r="Q40" s="4"/>
      <c r="R40" s="4"/>
      <c r="S40" s="4"/>
      <c r="T40" s="4"/>
      <c r="U40" s="4"/>
      <c r="V40" s="4"/>
      <c r="W40" s="4"/>
      <c r="X40" s="4"/>
      <c r="Y40" s="7"/>
      <c r="Z40" s="7"/>
      <c r="AA40" s="4"/>
      <c r="AB40" s="4"/>
      <c r="AC40" s="4"/>
      <c r="AD40" s="4"/>
      <c r="AE40" s="4"/>
      <c r="AF40" s="4"/>
      <c r="AG40" s="4"/>
      <c r="AH40" s="4"/>
      <c r="AI40" s="4"/>
      <c r="AJ40" s="4"/>
      <c r="AK40" s="1"/>
      <c r="AL40" s="1"/>
      <c r="AM40" s="1"/>
      <c r="AN40" s="1"/>
      <c r="AO40" s="1"/>
      <c r="AP40" s="1"/>
      <c r="AQ40" s="1"/>
      <c r="AR40" s="1"/>
      <c r="AS40" s="1"/>
      <c r="AT40" s="1"/>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row>
    <row r="41" spans="1:112" x14ac:dyDescent="0.25">
      <c r="A41" s="3"/>
      <c r="B41" s="4"/>
      <c r="C41" s="4"/>
      <c r="D41" s="4"/>
      <c r="E41" s="4"/>
      <c r="F41" s="4"/>
      <c r="G41" s="4"/>
      <c r="H41" s="4"/>
      <c r="I41" s="4"/>
      <c r="J41" s="4"/>
      <c r="K41" s="4"/>
      <c r="L41" s="4"/>
      <c r="M41" s="4"/>
      <c r="N41" s="4"/>
      <c r="O41" s="4"/>
      <c r="P41" s="4"/>
      <c r="Q41" s="4"/>
      <c r="R41" s="4"/>
      <c r="S41" s="4"/>
      <c r="T41" s="4"/>
      <c r="U41" s="4"/>
      <c r="V41" s="4"/>
      <c r="W41" s="4"/>
      <c r="X41" s="4"/>
      <c r="Y41" s="7"/>
      <c r="Z41" s="7"/>
      <c r="AA41" s="4"/>
      <c r="AB41" s="4"/>
      <c r="AC41" s="4"/>
      <c r="AD41" s="4"/>
      <c r="AE41" s="4"/>
      <c r="AF41" s="4"/>
      <c r="AG41" s="4"/>
      <c r="AH41" s="4"/>
      <c r="AI41" s="4"/>
      <c r="AJ41" s="4"/>
      <c r="AK41" s="1"/>
      <c r="AL41" s="1"/>
      <c r="AM41" s="1"/>
      <c r="AN41" s="1"/>
      <c r="AO41" s="1"/>
      <c r="AP41" s="1"/>
      <c r="AQ41" s="1"/>
      <c r="AR41" s="1"/>
      <c r="AS41" s="1"/>
      <c r="AT41" s="1"/>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row>
    <row r="42" spans="1:112" x14ac:dyDescent="0.25">
      <c r="A42" s="3"/>
      <c r="B42" s="4"/>
      <c r="C42" s="4"/>
      <c r="D42" s="4"/>
      <c r="E42" s="4"/>
      <c r="F42" s="4"/>
      <c r="G42" s="4"/>
      <c r="H42" s="4"/>
      <c r="I42" s="4"/>
      <c r="J42" s="4"/>
      <c r="K42" s="4"/>
      <c r="L42" s="4"/>
      <c r="M42" s="4"/>
      <c r="N42" s="4"/>
      <c r="O42" s="4"/>
      <c r="P42" s="4"/>
      <c r="Q42" s="4"/>
      <c r="R42" s="4"/>
      <c r="S42" s="4"/>
      <c r="T42" s="4"/>
      <c r="U42" s="4"/>
      <c r="V42" s="4"/>
      <c r="W42" s="4"/>
      <c r="X42" s="4"/>
      <c r="Y42" s="7"/>
      <c r="Z42" s="7"/>
      <c r="AA42" s="4"/>
      <c r="AB42" s="4"/>
      <c r="AC42" s="4"/>
      <c r="AD42" s="4"/>
      <c r="AE42" s="4"/>
      <c r="AF42" s="4"/>
      <c r="AG42" s="4"/>
      <c r="AH42" s="4"/>
      <c r="AI42" s="4"/>
      <c r="AJ42" s="4"/>
      <c r="AK42" s="1"/>
      <c r="AL42" s="1"/>
      <c r="AM42" s="1"/>
      <c r="AN42" s="1"/>
      <c r="AO42" s="1"/>
      <c r="AP42" s="1"/>
      <c r="AQ42" s="1"/>
      <c r="AR42" s="1"/>
      <c r="AS42" s="1"/>
      <c r="AT42" s="1"/>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row>
    <row r="43" spans="1:112" x14ac:dyDescent="0.25">
      <c r="A43" s="3"/>
      <c r="B43" s="4"/>
      <c r="C43" s="4"/>
      <c r="D43" s="4"/>
      <c r="E43" s="4"/>
      <c r="F43" s="4"/>
      <c r="G43" s="4"/>
      <c r="H43" s="4"/>
      <c r="I43" s="4"/>
      <c r="J43" s="4"/>
      <c r="K43" s="4"/>
      <c r="L43" s="4"/>
      <c r="M43" s="4"/>
      <c r="N43" s="4"/>
      <c r="O43" s="4"/>
      <c r="P43" s="4"/>
      <c r="Q43" s="4"/>
      <c r="R43" s="4"/>
      <c r="S43" s="4"/>
      <c r="T43" s="4"/>
      <c r="U43" s="4"/>
      <c r="V43" s="4"/>
      <c r="W43" s="4"/>
      <c r="X43" s="4"/>
      <c r="Y43" s="7"/>
      <c r="Z43" s="7"/>
      <c r="AA43" s="4"/>
      <c r="AB43" s="4"/>
      <c r="AC43" s="4"/>
      <c r="AD43" s="4"/>
      <c r="AE43" s="4"/>
      <c r="AF43" s="4"/>
      <c r="AG43" s="4"/>
      <c r="AH43" s="4"/>
      <c r="AI43" s="4"/>
      <c r="AJ43" s="4"/>
      <c r="AK43" s="1"/>
      <c r="AL43" s="1"/>
      <c r="AM43" s="1"/>
      <c r="AN43" s="1"/>
      <c r="AO43" s="1"/>
      <c r="AP43" s="1"/>
      <c r="AQ43" s="1"/>
      <c r="AR43" s="1"/>
      <c r="AS43" s="1"/>
      <c r="AT43" s="1"/>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row>
    <row r="44" spans="1:112" x14ac:dyDescent="0.25">
      <c r="A44" s="3"/>
      <c r="B44" s="4"/>
      <c r="C44" s="4"/>
      <c r="D44" s="4"/>
      <c r="E44" s="4"/>
      <c r="F44" s="4"/>
      <c r="G44" s="4"/>
      <c r="H44" s="4"/>
      <c r="I44" s="4"/>
      <c r="J44" s="4"/>
      <c r="K44" s="4"/>
      <c r="L44" s="4"/>
      <c r="M44" s="4"/>
      <c r="N44" s="4"/>
      <c r="O44" s="4"/>
      <c r="P44" s="4"/>
      <c r="Q44" s="4"/>
      <c r="R44" s="4"/>
      <c r="S44" s="4"/>
      <c r="T44" s="4"/>
      <c r="U44" s="4"/>
      <c r="V44" s="4"/>
      <c r="W44" s="4"/>
      <c r="X44" s="4"/>
      <c r="Y44" s="7"/>
      <c r="Z44" s="7"/>
      <c r="AA44" s="4"/>
      <c r="AB44" s="4"/>
      <c r="AC44" s="4"/>
      <c r="AD44" s="4"/>
      <c r="AE44" s="4"/>
      <c r="AF44" s="4"/>
      <c r="AG44" s="4"/>
      <c r="AH44" s="4"/>
      <c r="AI44" s="4"/>
      <c r="AJ44" s="4"/>
      <c r="AK44" s="1"/>
      <c r="AL44" s="1"/>
      <c r="AM44" s="1"/>
      <c r="AN44" s="1"/>
      <c r="AO44" s="1"/>
      <c r="AP44" s="1"/>
      <c r="AQ44" s="1"/>
      <c r="AR44" s="1"/>
      <c r="AS44" s="1"/>
      <c r="AT44" s="1"/>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row>
    <row r="45" spans="1:112" x14ac:dyDescent="0.25">
      <c r="A45" s="3"/>
      <c r="B45" s="4"/>
      <c r="C45" s="4"/>
      <c r="D45" s="4"/>
      <c r="E45" s="4"/>
      <c r="F45" s="4"/>
      <c r="G45" s="4"/>
      <c r="H45" s="4"/>
      <c r="I45" s="4"/>
      <c r="J45" s="4"/>
      <c r="K45" s="4"/>
      <c r="L45" s="4"/>
      <c r="M45" s="4"/>
      <c r="N45" s="4"/>
      <c r="O45" s="4"/>
      <c r="P45" s="4"/>
      <c r="Q45" s="4"/>
      <c r="R45" s="4"/>
      <c r="S45" s="4"/>
      <c r="T45" s="4"/>
      <c r="U45" s="4"/>
      <c r="V45" s="4"/>
      <c r="W45" s="4"/>
      <c r="X45" s="4"/>
      <c r="Y45" s="7"/>
      <c r="Z45" s="7"/>
      <c r="AA45" s="4"/>
      <c r="AB45" s="4"/>
      <c r="AC45" s="4"/>
      <c r="AD45" s="4"/>
      <c r="AE45" s="4"/>
      <c r="AF45" s="4"/>
      <c r="AG45" s="4"/>
      <c r="AH45" s="4"/>
      <c r="AI45" s="4"/>
      <c r="AJ45" s="4"/>
      <c r="AK45" s="1"/>
      <c r="AL45" s="1"/>
      <c r="AM45" s="1"/>
      <c r="AN45" s="1"/>
      <c r="AO45" s="1"/>
      <c r="AP45" s="1"/>
      <c r="AQ45" s="1"/>
      <c r="AR45" s="1"/>
      <c r="AS45" s="1"/>
      <c r="AT45" s="1"/>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row>
    <row r="46" spans="1:112" x14ac:dyDescent="0.25">
      <c r="A46" s="3"/>
      <c r="B46" s="4"/>
      <c r="C46" s="4"/>
      <c r="D46" s="4"/>
      <c r="E46" s="4"/>
      <c r="F46" s="4"/>
      <c r="G46" s="4"/>
      <c r="H46" s="4"/>
      <c r="I46" s="4"/>
      <c r="J46" s="4"/>
      <c r="K46" s="4"/>
      <c r="L46" s="4"/>
      <c r="M46" s="4"/>
      <c r="N46" s="4"/>
      <c r="O46" s="4"/>
      <c r="P46" s="4"/>
      <c r="Q46" s="4"/>
      <c r="R46" s="4"/>
      <c r="S46" s="4"/>
      <c r="T46" s="4"/>
      <c r="U46" s="4"/>
      <c r="V46" s="4"/>
      <c r="W46" s="4"/>
      <c r="X46" s="4"/>
      <c r="Y46" s="7"/>
      <c r="Z46" s="7"/>
      <c r="AA46" s="4"/>
      <c r="AB46" s="4"/>
      <c r="AC46" s="4"/>
      <c r="AD46" s="4"/>
      <c r="AE46" s="4"/>
      <c r="AF46" s="4"/>
      <c r="AG46" s="4"/>
      <c r="AH46" s="4"/>
      <c r="AI46" s="4"/>
      <c r="AJ46" s="4"/>
      <c r="AK46" s="1"/>
      <c r="AL46" s="1"/>
      <c r="AM46" s="1"/>
      <c r="AN46" s="1"/>
      <c r="AO46" s="1"/>
      <c r="AP46" s="1"/>
      <c r="AQ46" s="1"/>
      <c r="AR46" s="1"/>
      <c r="AS46" s="1"/>
      <c r="AT46" s="1"/>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row>
    <row r="47" spans="1:112" x14ac:dyDescent="0.25">
      <c r="A47" s="3"/>
      <c r="B47" s="4"/>
      <c r="C47" s="4"/>
      <c r="D47" s="4"/>
      <c r="E47" s="4"/>
      <c r="F47" s="4"/>
      <c r="G47" s="4"/>
      <c r="H47" s="4"/>
      <c r="I47" s="4"/>
      <c r="J47" s="4"/>
      <c r="K47" s="4"/>
      <c r="L47" s="4"/>
      <c r="M47" s="4"/>
      <c r="N47" s="4"/>
      <c r="O47" s="4"/>
      <c r="P47" s="4"/>
      <c r="Q47" s="4"/>
      <c r="R47" s="4"/>
      <c r="S47" s="4"/>
      <c r="T47" s="4"/>
      <c r="U47" s="4"/>
      <c r="V47" s="4"/>
      <c r="W47" s="4"/>
      <c r="X47" s="4"/>
      <c r="Y47" s="7"/>
      <c r="Z47" s="7"/>
      <c r="AA47" s="4"/>
      <c r="AB47" s="4"/>
      <c r="AC47" s="4"/>
      <c r="AD47" s="4"/>
      <c r="AE47" s="4"/>
      <c r="AF47" s="4"/>
      <c r="AG47" s="4"/>
      <c r="AH47" s="4"/>
      <c r="AI47" s="4"/>
      <c r="AJ47" s="4"/>
      <c r="AK47" s="1"/>
      <c r="AL47" s="1"/>
      <c r="AM47" s="1"/>
      <c r="AN47" s="1"/>
      <c r="AO47" s="1"/>
      <c r="AP47" s="1"/>
      <c r="AQ47" s="1"/>
      <c r="AR47" s="1"/>
      <c r="AS47" s="1"/>
      <c r="AT47" s="1"/>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row>
    <row r="48" spans="1:112" x14ac:dyDescent="0.25">
      <c r="A48" s="3"/>
      <c r="B48" s="4"/>
      <c r="C48" s="4"/>
      <c r="D48" s="4"/>
      <c r="E48" s="4"/>
      <c r="F48" s="4"/>
      <c r="G48" s="4"/>
      <c r="H48" s="4"/>
      <c r="I48" s="4"/>
      <c r="J48" s="4"/>
      <c r="K48" s="4"/>
      <c r="L48" s="4"/>
      <c r="M48" s="4"/>
      <c r="N48" s="4"/>
      <c r="O48" s="4"/>
      <c r="P48" s="4"/>
      <c r="Q48" s="4"/>
      <c r="R48" s="4"/>
      <c r="S48" s="4"/>
      <c r="T48" s="4"/>
      <c r="U48" s="4"/>
      <c r="V48" s="4"/>
      <c r="W48" s="4"/>
      <c r="X48" s="4"/>
      <c r="Y48" s="7"/>
      <c r="Z48" s="7"/>
      <c r="AA48" s="4"/>
      <c r="AB48" s="4"/>
      <c r="AC48" s="4"/>
      <c r="AD48" s="4"/>
      <c r="AE48" s="4"/>
      <c r="AF48" s="4"/>
      <c r="AG48" s="4"/>
      <c r="AH48" s="4"/>
      <c r="AI48" s="4"/>
      <c r="AJ48" s="4"/>
      <c r="AK48" s="1"/>
      <c r="AL48" s="1"/>
      <c r="AM48" s="1"/>
      <c r="AN48" s="1"/>
      <c r="AO48" s="1"/>
      <c r="AP48" s="1"/>
      <c r="AQ48" s="1"/>
      <c r="AR48" s="1"/>
      <c r="AS48" s="1"/>
      <c r="AT48" s="1"/>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row>
    <row r="49" spans="1:112" x14ac:dyDescent="0.25">
      <c r="A49" s="3"/>
      <c r="B49" s="4"/>
      <c r="C49" s="4"/>
      <c r="D49" s="4"/>
      <c r="E49" s="4"/>
      <c r="F49" s="4"/>
      <c r="G49" s="4"/>
      <c r="H49" s="4"/>
      <c r="I49" s="4"/>
      <c r="J49" s="4"/>
      <c r="K49" s="4"/>
      <c r="L49" s="4"/>
      <c r="M49" s="4"/>
      <c r="N49" s="4"/>
      <c r="O49" s="4"/>
      <c r="P49" s="4"/>
      <c r="Q49" s="4"/>
      <c r="R49" s="4"/>
      <c r="S49" s="4"/>
      <c r="T49" s="4"/>
      <c r="U49" s="4"/>
      <c r="V49" s="4"/>
      <c r="W49" s="4"/>
      <c r="X49" s="4"/>
      <c r="Y49" s="7"/>
      <c r="Z49" s="7"/>
      <c r="AA49" s="4"/>
      <c r="AB49" s="4"/>
      <c r="AC49" s="4"/>
      <c r="AD49" s="4"/>
      <c r="AE49" s="4"/>
      <c r="AF49" s="4"/>
      <c r="AG49" s="4"/>
      <c r="AH49" s="4"/>
      <c r="AI49" s="4"/>
      <c r="AJ49" s="4"/>
      <c r="AK49" s="1"/>
      <c r="AL49" s="1"/>
      <c r="AM49" s="1"/>
      <c r="AN49" s="1"/>
      <c r="AO49" s="1"/>
      <c r="AP49" s="1"/>
      <c r="AQ49" s="1"/>
      <c r="AR49" s="1"/>
      <c r="AS49" s="1"/>
      <c r="AT49" s="1"/>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row>
    <row r="50" spans="1:112" x14ac:dyDescent="0.25">
      <c r="A50" s="3"/>
      <c r="B50" s="4"/>
      <c r="C50" s="4"/>
      <c r="D50" s="4"/>
      <c r="E50" s="4"/>
      <c r="F50" s="4"/>
      <c r="G50" s="4"/>
      <c r="H50" s="4"/>
      <c r="I50" s="4"/>
      <c r="J50" s="4"/>
      <c r="K50" s="4"/>
      <c r="L50" s="4"/>
      <c r="M50" s="4"/>
      <c r="N50" s="4"/>
      <c r="O50" s="4"/>
      <c r="P50" s="4"/>
      <c r="Q50" s="4"/>
      <c r="R50" s="4"/>
      <c r="S50" s="4"/>
      <c r="T50" s="4"/>
      <c r="U50" s="4"/>
      <c r="V50" s="4"/>
      <c r="W50" s="4"/>
      <c r="X50" s="4"/>
      <c r="Y50" s="7"/>
      <c r="Z50" s="7"/>
      <c r="AA50" s="4"/>
      <c r="AB50" s="4"/>
      <c r="AC50" s="4"/>
      <c r="AD50" s="4"/>
      <c r="AE50" s="4"/>
      <c r="AF50" s="4"/>
      <c r="AG50" s="4"/>
      <c r="AH50" s="4"/>
      <c r="AI50" s="4"/>
      <c r="AJ50" s="4"/>
      <c r="AK50" s="1"/>
      <c r="AL50" s="1"/>
      <c r="AM50" s="1"/>
      <c r="AN50" s="1"/>
      <c r="AO50" s="1"/>
      <c r="AP50" s="1"/>
      <c r="AQ50" s="1"/>
      <c r="AR50" s="1"/>
      <c r="AS50" s="1"/>
      <c r="AT50" s="1"/>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row>
    <row r="51" spans="1:112" x14ac:dyDescent="0.25">
      <c r="A51" s="3"/>
      <c r="B51" s="4"/>
      <c r="C51" s="4"/>
      <c r="D51" s="4"/>
      <c r="E51" s="4"/>
      <c r="F51" s="4"/>
      <c r="G51" s="4"/>
      <c r="H51" s="4"/>
      <c r="I51" s="4"/>
      <c r="J51" s="4"/>
      <c r="K51" s="4"/>
      <c r="L51" s="4"/>
      <c r="M51" s="4"/>
      <c r="N51" s="4"/>
      <c r="O51" s="4"/>
      <c r="P51" s="4"/>
      <c r="Q51" s="4"/>
      <c r="R51" s="4"/>
      <c r="S51" s="4"/>
      <c r="T51" s="4"/>
      <c r="U51" s="4"/>
      <c r="V51" s="4"/>
      <c r="W51" s="4"/>
      <c r="X51" s="4"/>
      <c r="Y51" s="7"/>
      <c r="Z51" s="7"/>
      <c r="AA51" s="4"/>
      <c r="AB51" s="4"/>
      <c r="AC51" s="4"/>
      <c r="AD51" s="4"/>
      <c r="AE51" s="4"/>
      <c r="AF51" s="4"/>
      <c r="AG51" s="4"/>
      <c r="AH51" s="4"/>
      <c r="AI51" s="4"/>
      <c r="AJ51" s="4"/>
      <c r="AK51" s="1"/>
      <c r="AL51" s="1"/>
      <c r="AM51" s="1"/>
      <c r="AN51" s="1"/>
      <c r="AO51" s="1"/>
      <c r="AP51" s="1"/>
      <c r="AQ51" s="1"/>
      <c r="AR51" s="1"/>
      <c r="AS51" s="1"/>
      <c r="AT51" s="1"/>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row>
    <row r="52" spans="1:112" x14ac:dyDescent="0.25">
      <c r="A52" s="3"/>
      <c r="B52" s="4"/>
      <c r="C52" s="4"/>
      <c r="D52" s="4"/>
      <c r="E52" s="4"/>
      <c r="F52" s="4"/>
      <c r="G52" s="4"/>
      <c r="H52" s="4"/>
      <c r="I52" s="4"/>
      <c r="J52" s="4"/>
      <c r="K52" s="4"/>
      <c r="L52" s="4"/>
      <c r="M52" s="4"/>
      <c r="N52" s="4"/>
      <c r="O52" s="4"/>
      <c r="P52" s="4"/>
      <c r="Q52" s="4"/>
      <c r="R52" s="4"/>
      <c r="S52" s="4"/>
      <c r="T52" s="4"/>
      <c r="U52" s="4"/>
      <c r="V52" s="4"/>
      <c r="W52" s="4"/>
      <c r="X52" s="4"/>
      <c r="Y52" s="7"/>
      <c r="Z52" s="7"/>
      <c r="AA52" s="4"/>
      <c r="AB52" s="4"/>
      <c r="AC52" s="4"/>
      <c r="AD52" s="4"/>
      <c r="AE52" s="4"/>
      <c r="AF52" s="4"/>
      <c r="AG52" s="4"/>
      <c r="AH52" s="4"/>
      <c r="AI52" s="4"/>
      <c r="AJ52" s="4"/>
      <c r="AK52" s="1"/>
      <c r="AL52" s="1"/>
      <c r="AM52" s="1"/>
      <c r="AN52" s="1"/>
      <c r="AO52" s="1"/>
      <c r="AP52" s="1"/>
      <c r="AQ52" s="1"/>
      <c r="AR52" s="1"/>
      <c r="AS52" s="1"/>
      <c r="AT52" s="1"/>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row>
    <row r="53" spans="1:112" x14ac:dyDescent="0.25">
      <c r="A53" s="3"/>
      <c r="B53" s="4"/>
      <c r="C53" s="4"/>
      <c r="D53" s="4"/>
      <c r="E53" s="4"/>
      <c r="F53" s="4"/>
      <c r="G53" s="4"/>
      <c r="H53" s="4"/>
      <c r="I53" s="4"/>
      <c r="J53" s="4"/>
      <c r="K53" s="4"/>
      <c r="L53" s="4"/>
      <c r="M53" s="4"/>
      <c r="N53" s="4"/>
      <c r="O53" s="4"/>
      <c r="P53" s="4"/>
      <c r="Q53" s="4"/>
      <c r="R53" s="4"/>
      <c r="S53" s="4"/>
      <c r="T53" s="4"/>
      <c r="U53" s="4"/>
      <c r="V53" s="4"/>
      <c r="W53" s="4"/>
      <c r="X53" s="4"/>
      <c r="Y53" s="7"/>
      <c r="Z53" s="7"/>
      <c r="AA53" s="4"/>
      <c r="AB53" s="4"/>
      <c r="AC53" s="4"/>
      <c r="AD53" s="4"/>
      <c r="AE53" s="4"/>
      <c r="AF53" s="4"/>
      <c r="AG53" s="4"/>
      <c r="AH53" s="4"/>
      <c r="AI53" s="4"/>
      <c r="AJ53" s="4"/>
      <c r="AK53" s="1"/>
      <c r="AL53" s="1"/>
      <c r="AM53" s="1"/>
      <c r="AN53" s="1"/>
      <c r="AO53" s="1"/>
      <c r="AP53" s="1"/>
      <c r="AQ53" s="1"/>
      <c r="AR53" s="1"/>
      <c r="AS53" s="1"/>
      <c r="AT53" s="1"/>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row>
    <row r="54" spans="1:112" x14ac:dyDescent="0.25">
      <c r="A54" s="3"/>
      <c r="B54" s="4"/>
      <c r="C54" s="4"/>
      <c r="D54" s="4"/>
      <c r="E54" s="4"/>
      <c r="F54" s="4"/>
      <c r="G54" s="4"/>
      <c r="H54" s="4"/>
      <c r="I54" s="4"/>
      <c r="J54" s="4"/>
      <c r="K54" s="4"/>
      <c r="L54" s="4"/>
      <c r="M54" s="4"/>
      <c r="N54" s="4"/>
      <c r="O54" s="4"/>
      <c r="P54" s="4"/>
      <c r="Q54" s="4"/>
      <c r="R54" s="4"/>
      <c r="S54" s="4"/>
      <c r="T54" s="4"/>
      <c r="U54" s="4"/>
      <c r="V54" s="4"/>
      <c r="W54" s="4"/>
      <c r="X54" s="4"/>
      <c r="Y54" s="7"/>
      <c r="Z54" s="7"/>
      <c r="AA54" s="4"/>
      <c r="AB54" s="4"/>
      <c r="AC54" s="4"/>
      <c r="AD54" s="4"/>
      <c r="AE54" s="4"/>
      <c r="AF54" s="4"/>
      <c r="AG54" s="4"/>
      <c r="AH54" s="4"/>
      <c r="AI54" s="4"/>
      <c r="AJ54" s="4"/>
      <c r="AK54" s="1"/>
      <c r="AL54" s="1"/>
      <c r="AM54" s="1"/>
      <c r="AN54" s="1"/>
      <c r="AO54" s="1"/>
      <c r="AP54" s="1"/>
      <c r="AQ54" s="1"/>
      <c r="AR54" s="1"/>
      <c r="AS54" s="1"/>
      <c r="AT54" s="1"/>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row>
    <row r="55" spans="1:112" x14ac:dyDescent="0.25">
      <c r="A55" s="3"/>
      <c r="B55" s="4"/>
      <c r="C55" s="4"/>
      <c r="D55" s="4"/>
      <c r="E55" s="4"/>
      <c r="F55" s="4"/>
      <c r="G55" s="4"/>
      <c r="H55" s="4"/>
      <c r="I55" s="4"/>
      <c r="J55" s="4"/>
      <c r="K55" s="4"/>
      <c r="L55" s="4"/>
      <c r="M55" s="4"/>
      <c r="N55" s="4"/>
      <c r="O55" s="4"/>
      <c r="P55" s="4"/>
      <c r="Q55" s="4"/>
      <c r="R55" s="4"/>
      <c r="S55" s="4"/>
      <c r="T55" s="4"/>
      <c r="U55" s="4"/>
      <c r="V55" s="4"/>
      <c r="W55" s="4"/>
      <c r="X55" s="4"/>
      <c r="Y55" s="7"/>
      <c r="Z55" s="7"/>
      <c r="AA55" s="4"/>
      <c r="AB55" s="4"/>
      <c r="AC55" s="4"/>
      <c r="AD55" s="4"/>
      <c r="AE55" s="4"/>
      <c r="AF55" s="4"/>
      <c r="AG55" s="4"/>
      <c r="AH55" s="4"/>
      <c r="AI55" s="4"/>
      <c r="AJ55" s="4"/>
      <c r="AK55" s="1"/>
      <c r="AL55" s="1"/>
      <c r="AM55" s="1"/>
      <c r="AN55" s="1"/>
      <c r="AO55" s="1"/>
      <c r="AP55" s="1"/>
      <c r="AQ55" s="1"/>
      <c r="AR55" s="1"/>
      <c r="AS55" s="1"/>
      <c r="AT55" s="1"/>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row>
    <row r="56" spans="1:112" x14ac:dyDescent="0.25">
      <c r="A56" s="3"/>
      <c r="B56" s="4"/>
      <c r="C56" s="4"/>
      <c r="D56" s="4"/>
      <c r="E56" s="4"/>
      <c r="F56" s="4"/>
      <c r="G56" s="4"/>
      <c r="H56" s="4"/>
      <c r="I56" s="4"/>
      <c r="J56" s="4"/>
      <c r="K56" s="4"/>
      <c r="L56" s="4"/>
      <c r="M56" s="4"/>
      <c r="N56" s="4"/>
      <c r="O56" s="4"/>
      <c r="P56" s="4"/>
      <c r="Q56" s="4"/>
      <c r="R56" s="4"/>
      <c r="S56" s="4"/>
      <c r="T56" s="4"/>
      <c r="U56" s="4"/>
      <c r="V56" s="4"/>
      <c r="W56" s="4"/>
      <c r="X56" s="4"/>
      <c r="Y56" s="7"/>
      <c r="Z56" s="7"/>
      <c r="AA56" s="4"/>
      <c r="AB56" s="4"/>
      <c r="AC56" s="4"/>
      <c r="AD56" s="4"/>
      <c r="AE56" s="4"/>
      <c r="AF56" s="4"/>
      <c r="AG56" s="4"/>
      <c r="AH56" s="4"/>
      <c r="AI56" s="4"/>
      <c r="AJ56" s="4"/>
      <c r="AK56" s="1"/>
      <c r="AL56" s="1"/>
      <c r="AM56" s="1"/>
      <c r="AN56" s="1"/>
      <c r="AO56" s="1"/>
      <c r="AP56" s="1"/>
      <c r="AQ56" s="1"/>
      <c r="AR56" s="1"/>
      <c r="AS56" s="1"/>
      <c r="AT56" s="1"/>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row>
    <row r="57" spans="1:112" x14ac:dyDescent="0.25">
      <c r="A57" s="3"/>
      <c r="B57" s="4"/>
      <c r="C57" s="4"/>
      <c r="D57" s="4"/>
      <c r="E57" s="4"/>
      <c r="F57" s="4"/>
      <c r="G57" s="4"/>
      <c r="H57" s="4"/>
      <c r="I57" s="4"/>
      <c r="J57" s="4"/>
      <c r="K57" s="4"/>
      <c r="L57" s="4"/>
      <c r="M57" s="4"/>
      <c r="N57" s="4"/>
      <c r="O57" s="4"/>
      <c r="P57" s="4"/>
      <c r="Q57" s="4"/>
      <c r="R57" s="4"/>
      <c r="S57" s="4"/>
      <c r="T57" s="4"/>
      <c r="U57" s="4"/>
      <c r="V57" s="4"/>
      <c r="W57" s="4"/>
      <c r="X57" s="4"/>
      <c r="Y57" s="7"/>
      <c r="Z57" s="7"/>
      <c r="AA57" s="4"/>
      <c r="AB57" s="4"/>
      <c r="AC57" s="4"/>
      <c r="AD57" s="4"/>
      <c r="AE57" s="4"/>
      <c r="AF57" s="4"/>
      <c r="AG57" s="4"/>
      <c r="AH57" s="4"/>
      <c r="AI57" s="4"/>
      <c r="AJ57" s="4"/>
      <c r="AK57" s="1"/>
      <c r="AL57" s="1"/>
      <c r="AM57" s="1"/>
      <c r="AN57" s="1"/>
      <c r="AO57" s="1"/>
      <c r="AP57" s="1"/>
      <c r="AQ57" s="1"/>
      <c r="AR57" s="1"/>
      <c r="AS57" s="1"/>
      <c r="AT57" s="1"/>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row>
    <row r="58" spans="1:112" x14ac:dyDescent="0.25">
      <c r="A58" s="3"/>
      <c r="B58" s="4"/>
      <c r="C58" s="4"/>
      <c r="D58" s="4"/>
      <c r="E58" s="4"/>
      <c r="F58" s="4"/>
      <c r="G58" s="4"/>
      <c r="H58" s="4"/>
      <c r="I58" s="4"/>
      <c r="J58" s="4"/>
      <c r="K58" s="4"/>
      <c r="L58" s="4"/>
      <c r="M58" s="4"/>
      <c r="N58" s="4"/>
      <c r="O58" s="4"/>
      <c r="P58" s="4"/>
      <c r="Q58" s="4"/>
      <c r="R58" s="4"/>
      <c r="S58" s="4"/>
      <c r="T58" s="4"/>
      <c r="U58" s="4"/>
      <c r="V58" s="4"/>
      <c r="W58" s="4"/>
      <c r="X58" s="4"/>
      <c r="Y58" s="7"/>
      <c r="Z58" s="7"/>
      <c r="AA58" s="4"/>
      <c r="AB58" s="4"/>
      <c r="AC58" s="4"/>
      <c r="AD58" s="4"/>
      <c r="AE58" s="4"/>
      <c r="AF58" s="4"/>
      <c r="AG58" s="4"/>
      <c r="AH58" s="4"/>
      <c r="AI58" s="4"/>
      <c r="AJ58" s="4"/>
      <c r="AK58" s="1"/>
      <c r="AL58" s="1"/>
      <c r="AM58" s="1"/>
      <c r="AN58" s="1"/>
      <c r="AO58" s="1"/>
      <c r="AP58" s="1"/>
      <c r="AQ58" s="1"/>
      <c r="AR58" s="1"/>
      <c r="AS58" s="1"/>
      <c r="AT58" s="1"/>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row>
    <row r="59" spans="1:112" x14ac:dyDescent="0.25">
      <c r="A59" s="3"/>
      <c r="B59" s="4"/>
      <c r="C59" s="4"/>
      <c r="D59" s="4"/>
      <c r="E59" s="4"/>
      <c r="F59" s="4"/>
      <c r="G59" s="4"/>
      <c r="H59" s="4"/>
      <c r="I59" s="4"/>
      <c r="J59" s="4"/>
      <c r="K59" s="4"/>
      <c r="L59" s="4"/>
      <c r="M59" s="4"/>
      <c r="N59" s="4"/>
      <c r="O59" s="4"/>
      <c r="P59" s="4"/>
      <c r="Q59" s="4"/>
      <c r="R59" s="4"/>
      <c r="S59" s="4"/>
      <c r="T59" s="4"/>
      <c r="U59" s="4"/>
      <c r="V59" s="4"/>
      <c r="W59" s="4"/>
      <c r="X59" s="4"/>
      <c r="Y59" s="7"/>
      <c r="Z59" s="7"/>
      <c r="AA59" s="4"/>
      <c r="AB59" s="4"/>
      <c r="AC59" s="4"/>
      <c r="AD59" s="4"/>
      <c r="AE59" s="4"/>
      <c r="AF59" s="4"/>
      <c r="AG59" s="4"/>
      <c r="AH59" s="4"/>
      <c r="AI59" s="4"/>
      <c r="AJ59" s="4"/>
      <c r="AK59" s="1"/>
      <c r="AL59" s="1"/>
      <c r="AM59" s="1"/>
      <c r="AN59" s="1"/>
      <c r="AO59" s="1"/>
      <c r="AP59" s="1"/>
      <c r="AQ59" s="1"/>
      <c r="AR59" s="1"/>
      <c r="AS59" s="1"/>
      <c r="AT59" s="1"/>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row>
    <row r="60" spans="1:112" x14ac:dyDescent="0.25">
      <c r="A60" s="3"/>
      <c r="B60" s="4"/>
      <c r="C60" s="4"/>
      <c r="D60" s="4"/>
      <c r="E60" s="4"/>
      <c r="F60" s="4"/>
      <c r="G60" s="4"/>
      <c r="H60" s="4"/>
      <c r="I60" s="4"/>
      <c r="J60" s="4"/>
      <c r="K60" s="4"/>
      <c r="L60" s="4"/>
      <c r="M60" s="4"/>
      <c r="N60" s="4"/>
      <c r="O60" s="4"/>
      <c r="P60" s="4"/>
      <c r="Q60" s="4"/>
      <c r="R60" s="4"/>
      <c r="S60" s="4"/>
      <c r="T60" s="4"/>
      <c r="U60" s="4"/>
      <c r="V60" s="4"/>
      <c r="W60" s="4"/>
      <c r="X60" s="4"/>
      <c r="Y60" s="7"/>
      <c r="Z60" s="7"/>
      <c r="AA60" s="4"/>
      <c r="AB60" s="4"/>
      <c r="AC60" s="4"/>
      <c r="AD60" s="4"/>
      <c r="AE60" s="4"/>
      <c r="AF60" s="4"/>
      <c r="AG60" s="4"/>
      <c r="AH60" s="4"/>
      <c r="AI60" s="4"/>
      <c r="AJ60" s="4"/>
      <c r="AK60" s="1"/>
      <c r="AL60" s="1"/>
      <c r="AM60" s="1"/>
      <c r="AN60" s="1"/>
      <c r="AO60" s="1"/>
      <c r="AP60" s="1"/>
      <c r="AQ60" s="1"/>
      <c r="AR60" s="1"/>
      <c r="AS60" s="1"/>
      <c r="AT60" s="1"/>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row>
    <row r="61" spans="1:112" x14ac:dyDescent="0.25">
      <c r="A61" s="3"/>
      <c r="B61" s="4"/>
      <c r="C61" s="4"/>
      <c r="D61" s="4"/>
      <c r="E61" s="4"/>
      <c r="F61" s="4"/>
      <c r="G61" s="4"/>
      <c r="H61" s="4"/>
      <c r="I61" s="4"/>
      <c r="J61" s="4"/>
      <c r="K61" s="4"/>
      <c r="L61" s="4"/>
      <c r="M61" s="4"/>
      <c r="N61" s="4"/>
      <c r="O61" s="4"/>
      <c r="P61" s="4"/>
      <c r="Q61" s="4"/>
      <c r="R61" s="4"/>
      <c r="S61" s="4"/>
      <c r="T61" s="4"/>
      <c r="U61" s="4"/>
      <c r="V61" s="4"/>
      <c r="W61" s="4"/>
      <c r="X61" s="4"/>
      <c r="Y61" s="7"/>
      <c r="Z61" s="7"/>
      <c r="AA61" s="4"/>
      <c r="AB61" s="4"/>
      <c r="AC61" s="4"/>
      <c r="AD61" s="4"/>
      <c r="AE61" s="4"/>
      <c r="AF61" s="4"/>
      <c r="AG61" s="4"/>
      <c r="AH61" s="4"/>
      <c r="AI61" s="4"/>
      <c r="AJ61" s="4"/>
      <c r="AK61" s="1"/>
      <c r="AL61" s="1"/>
      <c r="AM61" s="1"/>
      <c r="AN61" s="1"/>
      <c r="AO61" s="1"/>
      <c r="AP61" s="1"/>
      <c r="AQ61" s="1"/>
      <c r="AR61" s="1"/>
      <c r="AS61" s="1"/>
      <c r="AT61" s="1"/>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row>
    <row r="62" spans="1:112" x14ac:dyDescent="0.25">
      <c r="A62" s="3"/>
      <c r="B62" s="4"/>
      <c r="C62" s="4"/>
      <c r="D62" s="4"/>
      <c r="E62" s="4"/>
      <c r="F62" s="4"/>
      <c r="G62" s="4"/>
      <c r="H62" s="4"/>
      <c r="I62" s="4"/>
      <c r="J62" s="4"/>
      <c r="K62" s="4"/>
      <c r="L62" s="4"/>
      <c r="M62" s="4"/>
      <c r="N62" s="4"/>
      <c r="O62" s="4"/>
      <c r="P62" s="4"/>
      <c r="Q62" s="4"/>
      <c r="R62" s="4"/>
      <c r="S62" s="4"/>
      <c r="T62" s="4"/>
      <c r="U62" s="4"/>
      <c r="V62" s="4"/>
      <c r="W62" s="4"/>
      <c r="X62" s="4"/>
      <c r="Y62" s="7"/>
      <c r="Z62" s="7"/>
      <c r="AA62" s="4"/>
      <c r="AB62" s="4"/>
      <c r="AC62" s="4"/>
      <c r="AD62" s="4"/>
      <c r="AE62" s="4"/>
      <c r="AF62" s="4"/>
      <c r="AG62" s="4"/>
      <c r="AH62" s="4"/>
      <c r="AI62" s="4"/>
      <c r="AJ62" s="4"/>
      <c r="AK62" s="1"/>
      <c r="AL62" s="1"/>
      <c r="AM62" s="1"/>
      <c r="AN62" s="1"/>
      <c r="AO62" s="1"/>
      <c r="AP62" s="1"/>
      <c r="AQ62" s="1"/>
      <c r="AR62" s="1"/>
      <c r="AS62" s="1"/>
      <c r="AT62" s="1"/>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row>
    <row r="63" spans="1:112" x14ac:dyDescent="0.25">
      <c r="A63" s="3"/>
      <c r="B63" s="4"/>
      <c r="C63" s="4"/>
      <c r="D63" s="4"/>
      <c r="E63" s="4"/>
      <c r="F63" s="4"/>
      <c r="G63" s="4"/>
      <c r="H63" s="4"/>
      <c r="I63" s="4"/>
      <c r="J63" s="4"/>
      <c r="K63" s="4"/>
      <c r="L63" s="4"/>
      <c r="M63" s="4"/>
      <c r="N63" s="4"/>
      <c r="O63" s="4"/>
      <c r="P63" s="4"/>
      <c r="Q63" s="4"/>
      <c r="R63" s="4"/>
      <c r="S63" s="4"/>
      <c r="T63" s="4"/>
      <c r="U63" s="4"/>
      <c r="V63" s="4"/>
      <c r="W63" s="4"/>
      <c r="X63" s="4"/>
      <c r="Y63" s="7"/>
      <c r="Z63" s="7"/>
      <c r="AA63" s="4"/>
      <c r="AB63" s="4"/>
      <c r="AC63" s="4"/>
      <c r="AD63" s="4"/>
      <c r="AE63" s="4"/>
      <c r="AF63" s="4"/>
      <c r="AG63" s="4"/>
      <c r="AH63" s="4"/>
      <c r="AI63" s="4"/>
      <c r="AJ63" s="4"/>
      <c r="AK63" s="1"/>
      <c r="AL63" s="1"/>
      <c r="AM63" s="1"/>
      <c r="AN63" s="1"/>
      <c r="AO63" s="1"/>
      <c r="AP63" s="1"/>
      <c r="AQ63" s="1"/>
      <c r="AR63" s="1"/>
      <c r="AS63" s="1"/>
      <c r="AT63" s="1"/>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row>
    <row r="64" spans="1:112" x14ac:dyDescent="0.25">
      <c r="A64" s="3"/>
      <c r="B64" s="4"/>
      <c r="C64" s="4"/>
      <c r="D64" s="4"/>
      <c r="E64" s="4"/>
      <c r="F64" s="4"/>
      <c r="G64" s="4"/>
      <c r="H64" s="4"/>
      <c r="I64" s="4"/>
      <c r="J64" s="4"/>
      <c r="K64" s="4"/>
      <c r="L64" s="4"/>
      <c r="M64" s="4"/>
      <c r="N64" s="4"/>
      <c r="O64" s="4"/>
      <c r="P64" s="4"/>
      <c r="Q64" s="4"/>
      <c r="R64" s="4"/>
      <c r="S64" s="4"/>
      <c r="T64" s="4"/>
      <c r="U64" s="4"/>
      <c r="V64" s="4"/>
      <c r="W64" s="4"/>
      <c r="X64" s="4"/>
      <c r="Y64" s="7"/>
      <c r="Z64" s="7"/>
      <c r="AA64" s="4"/>
      <c r="AB64" s="4"/>
      <c r="AC64" s="4"/>
      <c r="AD64" s="4"/>
      <c r="AE64" s="4"/>
      <c r="AF64" s="4"/>
      <c r="AG64" s="4"/>
      <c r="AH64" s="4"/>
      <c r="AI64" s="4"/>
      <c r="AJ64" s="4"/>
      <c r="AK64" s="1"/>
      <c r="AL64" s="1"/>
      <c r="AM64" s="1"/>
      <c r="AN64" s="1"/>
      <c r="AO64" s="1"/>
      <c r="AP64" s="1"/>
      <c r="AQ64" s="1"/>
      <c r="AR64" s="1"/>
      <c r="AS64" s="1"/>
      <c r="AT64" s="1"/>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row>
    <row r="65" spans="1:112" x14ac:dyDescent="0.25">
      <c r="A65" s="3"/>
      <c r="B65" s="4"/>
      <c r="C65" s="4"/>
      <c r="D65" s="4"/>
      <c r="E65" s="4"/>
      <c r="F65" s="4"/>
      <c r="G65" s="4"/>
      <c r="H65" s="4"/>
      <c r="I65" s="4"/>
      <c r="J65" s="4"/>
      <c r="K65" s="4"/>
      <c r="L65" s="4"/>
      <c r="M65" s="4"/>
      <c r="N65" s="4"/>
      <c r="O65" s="4"/>
      <c r="P65" s="4"/>
      <c r="Q65" s="4"/>
      <c r="R65" s="4"/>
      <c r="S65" s="4"/>
      <c r="T65" s="4"/>
      <c r="U65" s="4"/>
      <c r="V65" s="4"/>
      <c r="W65" s="4"/>
      <c r="X65" s="4"/>
      <c r="Y65" s="7"/>
      <c r="Z65" s="7"/>
      <c r="AA65" s="4"/>
      <c r="AB65" s="4"/>
      <c r="AC65" s="4"/>
      <c r="AD65" s="4"/>
      <c r="AE65" s="4"/>
      <c r="AF65" s="4"/>
      <c r="AG65" s="4"/>
      <c r="AH65" s="4"/>
      <c r="AI65" s="4"/>
      <c r="AJ65" s="4"/>
      <c r="AK65" s="1"/>
      <c r="AL65" s="1"/>
      <c r="AM65" s="1"/>
      <c r="AN65" s="1"/>
      <c r="AO65" s="1"/>
      <c r="AP65" s="1"/>
      <c r="AQ65" s="1"/>
      <c r="AR65" s="1"/>
      <c r="AS65" s="1"/>
      <c r="AT65" s="1"/>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row>
    <row r="66" spans="1:112" x14ac:dyDescent="0.25">
      <c r="A66" s="3"/>
      <c r="B66" s="4"/>
      <c r="C66" s="4"/>
      <c r="D66" s="4"/>
      <c r="E66" s="4"/>
      <c r="F66" s="4"/>
      <c r="G66" s="4"/>
      <c r="H66" s="4"/>
      <c r="I66" s="4"/>
      <c r="J66" s="4"/>
      <c r="K66" s="4"/>
      <c r="L66" s="4"/>
      <c r="M66" s="4"/>
      <c r="N66" s="4"/>
      <c r="O66" s="4"/>
      <c r="P66" s="4"/>
      <c r="Q66" s="4"/>
      <c r="R66" s="4"/>
      <c r="S66" s="4"/>
      <c r="T66" s="4"/>
      <c r="U66" s="4"/>
      <c r="V66" s="4"/>
      <c r="W66" s="4"/>
      <c r="X66" s="4"/>
      <c r="Y66" s="7"/>
      <c r="Z66" s="7"/>
      <c r="AA66" s="4"/>
      <c r="AB66" s="4"/>
      <c r="AC66" s="4"/>
      <c r="AD66" s="4"/>
      <c r="AE66" s="4"/>
      <c r="AF66" s="4"/>
      <c r="AG66" s="4"/>
      <c r="AH66" s="4"/>
      <c r="AI66" s="4"/>
      <c r="AJ66" s="4"/>
      <c r="AK66" s="1"/>
      <c r="AL66" s="1"/>
      <c r="AM66" s="1"/>
      <c r="AN66" s="1"/>
      <c r="AO66" s="1"/>
      <c r="AP66" s="1"/>
      <c r="AQ66" s="1"/>
      <c r="AR66" s="1"/>
      <c r="AS66" s="1"/>
      <c r="AT66" s="1"/>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row>
    <row r="67" spans="1:112" x14ac:dyDescent="0.25">
      <c r="A67" s="3"/>
      <c r="B67" s="4"/>
      <c r="C67" s="4"/>
      <c r="D67" s="4"/>
      <c r="E67" s="4"/>
      <c r="F67" s="4"/>
      <c r="G67" s="4"/>
      <c r="H67" s="4"/>
      <c r="I67" s="4"/>
      <c r="J67" s="4"/>
      <c r="K67" s="4"/>
      <c r="L67" s="4"/>
      <c r="M67" s="4"/>
      <c r="N67" s="4"/>
      <c r="O67" s="4"/>
      <c r="P67" s="4"/>
      <c r="Q67" s="4"/>
      <c r="R67" s="4"/>
      <c r="S67" s="4"/>
      <c r="T67" s="4"/>
      <c r="U67" s="4"/>
      <c r="V67" s="4"/>
      <c r="W67" s="4"/>
      <c r="X67" s="4"/>
      <c r="Y67" s="7"/>
      <c r="Z67" s="7"/>
      <c r="AA67" s="4"/>
      <c r="AB67" s="4"/>
      <c r="AC67" s="4"/>
      <c r="AD67" s="4"/>
      <c r="AE67" s="4"/>
      <c r="AF67" s="4"/>
      <c r="AG67" s="4"/>
      <c r="AH67" s="4"/>
      <c r="AI67" s="4"/>
      <c r="AJ67" s="4"/>
      <c r="AK67" s="1"/>
      <c r="AL67" s="1"/>
      <c r="AM67" s="1"/>
      <c r="AN67" s="1"/>
      <c r="AO67" s="1"/>
      <c r="AP67" s="1"/>
      <c r="AQ67" s="1"/>
      <c r="AR67" s="1"/>
      <c r="AS67" s="1"/>
      <c r="AT67" s="1"/>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row>
    <row r="68" spans="1:112" x14ac:dyDescent="0.25">
      <c r="A68" s="3"/>
      <c r="B68" s="4"/>
      <c r="C68" s="4"/>
      <c r="D68" s="4"/>
      <c r="E68" s="4"/>
      <c r="F68" s="4"/>
      <c r="G68" s="4"/>
      <c r="H68" s="4"/>
      <c r="I68" s="4"/>
      <c r="J68" s="4"/>
      <c r="K68" s="4"/>
      <c r="L68" s="4"/>
      <c r="M68" s="4"/>
      <c r="N68" s="4"/>
      <c r="O68" s="4"/>
      <c r="P68" s="4"/>
      <c r="Q68" s="4"/>
      <c r="R68" s="4"/>
      <c r="S68" s="4"/>
      <c r="T68" s="4"/>
      <c r="U68" s="4"/>
      <c r="V68" s="4"/>
      <c r="W68" s="4"/>
      <c r="X68" s="4"/>
      <c r="Y68" s="7"/>
      <c r="Z68" s="7"/>
      <c r="AA68" s="4"/>
      <c r="AB68" s="4"/>
      <c r="AC68" s="4"/>
      <c r="AD68" s="4"/>
      <c r="AE68" s="4"/>
      <c r="AF68" s="4"/>
      <c r="AG68" s="4"/>
      <c r="AH68" s="4"/>
      <c r="AI68" s="4"/>
      <c r="AJ68" s="4"/>
      <c r="AK68" s="1"/>
      <c r="AL68" s="1"/>
      <c r="AM68" s="1"/>
      <c r="AN68" s="1"/>
      <c r="AO68" s="1"/>
      <c r="AP68" s="1"/>
      <c r="AQ68" s="1"/>
      <c r="AR68" s="1"/>
      <c r="AS68" s="1"/>
      <c r="AT68" s="1"/>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row>
    <row r="69" spans="1:112" x14ac:dyDescent="0.25">
      <c r="A69" s="3"/>
      <c r="B69" s="4"/>
      <c r="C69" s="4"/>
      <c r="D69" s="4"/>
      <c r="E69" s="4"/>
      <c r="F69" s="4"/>
      <c r="G69" s="4"/>
      <c r="H69" s="4"/>
      <c r="I69" s="4"/>
      <c r="J69" s="4"/>
      <c r="K69" s="4"/>
      <c r="L69" s="4"/>
      <c r="M69" s="4"/>
      <c r="N69" s="4"/>
      <c r="O69" s="4"/>
      <c r="P69" s="4"/>
      <c r="Q69" s="4"/>
      <c r="R69" s="4"/>
      <c r="S69" s="4"/>
      <c r="T69" s="4"/>
      <c r="U69" s="4"/>
      <c r="V69" s="4"/>
      <c r="W69" s="4"/>
      <c r="X69" s="4"/>
      <c r="Y69" s="7"/>
      <c r="Z69" s="7"/>
      <c r="AA69" s="4"/>
      <c r="AB69" s="4"/>
      <c r="AC69" s="4"/>
      <c r="AD69" s="4"/>
      <c r="AE69" s="4"/>
      <c r="AF69" s="4"/>
      <c r="AG69" s="4"/>
      <c r="AH69" s="4"/>
      <c r="AI69" s="4"/>
      <c r="AJ69" s="4"/>
      <c r="AK69" s="1"/>
      <c r="AL69" s="1"/>
      <c r="AM69" s="1"/>
      <c r="AN69" s="1"/>
      <c r="AO69" s="1"/>
      <c r="AP69" s="1"/>
      <c r="AQ69" s="1"/>
      <c r="AR69" s="1"/>
      <c r="AS69" s="1"/>
      <c r="AT69" s="1"/>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row>
    <row r="70" spans="1:112" x14ac:dyDescent="0.25">
      <c r="A70" s="3"/>
      <c r="B70" s="4"/>
      <c r="C70" s="4"/>
      <c r="D70" s="4"/>
      <c r="E70" s="4"/>
      <c r="F70" s="4"/>
      <c r="G70" s="4"/>
      <c r="H70" s="4"/>
      <c r="I70" s="4"/>
      <c r="J70" s="4"/>
      <c r="K70" s="4"/>
      <c r="L70" s="4"/>
      <c r="M70" s="4"/>
      <c r="N70" s="4"/>
      <c r="O70" s="4"/>
      <c r="P70" s="4"/>
      <c r="Q70" s="4"/>
      <c r="R70" s="4"/>
      <c r="S70" s="4"/>
      <c r="T70" s="4"/>
      <c r="U70" s="4"/>
      <c r="V70" s="4"/>
      <c r="W70" s="4"/>
      <c r="X70" s="4"/>
      <c r="Y70" s="7"/>
      <c r="Z70" s="7"/>
      <c r="AA70" s="4"/>
      <c r="AB70" s="4"/>
      <c r="AC70" s="4"/>
      <c r="AD70" s="4"/>
      <c r="AE70" s="4"/>
      <c r="AF70" s="4"/>
      <c r="AG70" s="4"/>
      <c r="AH70" s="4"/>
      <c r="AI70" s="4"/>
      <c r="AJ70" s="4"/>
      <c r="AK70" s="1"/>
      <c r="AL70" s="1"/>
      <c r="AM70" s="1"/>
      <c r="AN70" s="1"/>
      <c r="AO70" s="1"/>
      <c r="AP70" s="1"/>
      <c r="AQ70" s="1"/>
      <c r="AR70" s="1"/>
      <c r="AS70" s="1"/>
      <c r="AT70" s="1"/>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row>
    <row r="71" spans="1:112" x14ac:dyDescent="0.25">
      <c r="A71" s="3"/>
      <c r="B71" s="4"/>
      <c r="C71" s="4"/>
      <c r="D71" s="4"/>
      <c r="E71" s="4"/>
      <c r="F71" s="4"/>
      <c r="G71" s="4"/>
      <c r="H71" s="4"/>
      <c r="I71" s="4"/>
      <c r="J71" s="4"/>
      <c r="K71" s="4"/>
      <c r="L71" s="4"/>
      <c r="M71" s="4"/>
      <c r="N71" s="4"/>
      <c r="O71" s="4"/>
      <c r="P71" s="4"/>
      <c r="Q71" s="4"/>
      <c r="R71" s="4"/>
      <c r="S71" s="4"/>
      <c r="T71" s="4"/>
      <c r="U71" s="4"/>
      <c r="V71" s="4"/>
      <c r="W71" s="4"/>
      <c r="X71" s="4"/>
      <c r="Y71" s="7"/>
      <c r="Z71" s="7"/>
      <c r="AA71" s="4"/>
      <c r="AB71" s="4"/>
      <c r="AC71" s="4"/>
      <c r="AD71" s="4"/>
      <c r="AE71" s="4"/>
      <c r="AF71" s="4"/>
      <c r="AG71" s="4"/>
      <c r="AH71" s="4"/>
      <c r="AI71" s="4"/>
      <c r="AJ71" s="4"/>
      <c r="AK71" s="1"/>
      <c r="AL71" s="1"/>
      <c r="AM71" s="1"/>
      <c r="AN71" s="1"/>
      <c r="AO71" s="1"/>
      <c r="AP71" s="1"/>
      <c r="AQ71" s="1"/>
      <c r="AR71" s="1"/>
      <c r="AS71" s="1"/>
      <c r="AT71" s="1"/>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row>
    <row r="72" spans="1:112" x14ac:dyDescent="0.25">
      <c r="A72" s="3"/>
      <c r="B72" s="4"/>
      <c r="C72" s="4"/>
      <c r="D72" s="4"/>
      <c r="E72" s="4"/>
      <c r="F72" s="4"/>
      <c r="G72" s="4"/>
      <c r="H72" s="4"/>
      <c r="I72" s="4"/>
      <c r="J72" s="4"/>
      <c r="K72" s="4"/>
      <c r="L72" s="4"/>
      <c r="M72" s="4"/>
      <c r="N72" s="4"/>
      <c r="O72" s="4"/>
      <c r="P72" s="4"/>
      <c r="Q72" s="4"/>
      <c r="R72" s="4"/>
      <c r="S72" s="4"/>
      <c r="T72" s="4"/>
      <c r="U72" s="4"/>
      <c r="V72" s="4"/>
      <c r="W72" s="4"/>
      <c r="X72" s="4"/>
      <c r="Y72" s="7"/>
      <c r="Z72" s="7"/>
      <c r="AA72" s="4"/>
      <c r="AB72" s="4"/>
      <c r="AC72" s="4"/>
      <c r="AD72" s="4"/>
      <c r="AE72" s="4"/>
      <c r="AF72" s="4"/>
      <c r="AG72" s="4"/>
      <c r="AH72" s="4"/>
      <c r="AI72" s="4"/>
      <c r="AJ72" s="4"/>
      <c r="AK72" s="1"/>
      <c r="AL72" s="1"/>
      <c r="AM72" s="1"/>
      <c r="AN72" s="1"/>
      <c r="AO72" s="1"/>
      <c r="AP72" s="1"/>
      <c r="AQ72" s="1"/>
      <c r="AR72" s="1"/>
      <c r="AS72" s="1"/>
      <c r="AT72" s="1"/>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row>
    <row r="73" spans="1:112" x14ac:dyDescent="0.25">
      <c r="A73" s="3"/>
      <c r="B73" s="4"/>
      <c r="C73" s="4"/>
      <c r="D73" s="4"/>
      <c r="E73" s="4"/>
      <c r="F73" s="4"/>
      <c r="G73" s="4"/>
      <c r="H73" s="4"/>
      <c r="I73" s="4"/>
      <c r="J73" s="4"/>
      <c r="K73" s="4"/>
      <c r="L73" s="4"/>
      <c r="M73" s="4"/>
      <c r="N73" s="4"/>
      <c r="O73" s="4"/>
      <c r="P73" s="4"/>
      <c r="Q73" s="4"/>
      <c r="R73" s="4"/>
      <c r="S73" s="4"/>
      <c r="T73" s="4"/>
      <c r="U73" s="4"/>
      <c r="V73" s="4"/>
      <c r="W73" s="4"/>
      <c r="X73" s="4"/>
      <c r="Y73" s="7"/>
      <c r="Z73" s="7"/>
      <c r="AA73" s="4"/>
      <c r="AB73" s="4"/>
      <c r="AC73" s="4"/>
      <c r="AD73" s="4"/>
      <c r="AE73" s="4"/>
      <c r="AF73" s="4"/>
      <c r="AG73" s="4"/>
      <c r="AH73" s="4"/>
      <c r="AI73" s="4"/>
      <c r="AJ73" s="4"/>
      <c r="AK73" s="1"/>
      <c r="AL73" s="1"/>
      <c r="AM73" s="1"/>
      <c r="AN73" s="1"/>
      <c r="AO73" s="1"/>
      <c r="AP73" s="1"/>
      <c r="AQ73" s="1"/>
      <c r="AR73" s="1"/>
      <c r="AS73" s="1"/>
      <c r="AT73" s="1"/>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row>
    <row r="74" spans="1:112" x14ac:dyDescent="0.25">
      <c r="A74" s="3"/>
      <c r="B74" s="4"/>
      <c r="C74" s="4"/>
      <c r="D74" s="4"/>
      <c r="E74" s="4"/>
      <c r="F74" s="4"/>
      <c r="G74" s="4"/>
      <c r="H74" s="4"/>
      <c r="I74" s="4"/>
      <c r="J74" s="4"/>
      <c r="K74" s="4"/>
      <c r="L74" s="4"/>
      <c r="M74" s="4"/>
      <c r="N74" s="4"/>
      <c r="O74" s="4"/>
      <c r="P74" s="4"/>
      <c r="Q74" s="4"/>
      <c r="R74" s="4"/>
      <c r="S74" s="4"/>
      <c r="T74" s="4"/>
      <c r="U74" s="4"/>
      <c r="V74" s="4"/>
      <c r="W74" s="4"/>
      <c r="X74" s="4"/>
      <c r="Y74" s="7"/>
      <c r="Z74" s="7"/>
      <c r="AA74" s="4"/>
      <c r="AB74" s="4"/>
      <c r="AC74" s="4"/>
      <c r="AD74" s="4"/>
      <c r="AE74" s="4"/>
      <c r="AF74" s="4"/>
      <c r="AG74" s="4"/>
      <c r="AH74" s="4"/>
      <c r="AI74" s="4"/>
      <c r="AJ74" s="4"/>
      <c r="AK74" s="1"/>
      <c r="AL74" s="1"/>
      <c r="AM74" s="1"/>
      <c r="AN74" s="1"/>
      <c r="AO74" s="1"/>
      <c r="AP74" s="1"/>
      <c r="AQ74" s="1"/>
      <c r="AR74" s="1"/>
      <c r="AS74" s="1"/>
      <c r="AT74" s="1"/>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row>
    <row r="75" spans="1:112" x14ac:dyDescent="0.25">
      <c r="A75" s="3"/>
      <c r="B75" s="4"/>
      <c r="C75" s="4"/>
      <c r="D75" s="4"/>
      <c r="E75" s="4"/>
      <c r="F75" s="4"/>
      <c r="G75" s="4"/>
      <c r="H75" s="4"/>
      <c r="I75" s="4"/>
      <c r="J75" s="4"/>
      <c r="K75" s="4"/>
      <c r="L75" s="4"/>
      <c r="M75" s="4"/>
      <c r="N75" s="4"/>
      <c r="O75" s="4"/>
      <c r="P75" s="4"/>
      <c r="Q75" s="4"/>
      <c r="R75" s="4"/>
      <c r="S75" s="4"/>
      <c r="T75" s="4"/>
      <c r="U75" s="4"/>
      <c r="V75" s="4"/>
      <c r="W75" s="4"/>
      <c r="X75" s="4"/>
      <c r="Y75" s="7"/>
      <c r="Z75" s="7"/>
      <c r="AA75" s="4"/>
      <c r="AB75" s="4"/>
      <c r="AC75" s="4"/>
      <c r="AD75" s="4"/>
      <c r="AE75" s="4"/>
      <c r="AF75" s="4"/>
      <c r="AG75" s="4"/>
      <c r="AH75" s="4"/>
      <c r="AI75" s="4"/>
      <c r="AJ75" s="4"/>
      <c r="AK75" s="1"/>
      <c r="AL75" s="1"/>
      <c r="AM75" s="1"/>
      <c r="AN75" s="1"/>
      <c r="AO75" s="1"/>
      <c r="AP75" s="1"/>
      <c r="AQ75" s="1"/>
      <c r="AR75" s="1"/>
      <c r="AS75" s="1"/>
      <c r="AT75" s="1"/>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row>
    <row r="76" spans="1:112" x14ac:dyDescent="0.25">
      <c r="A76" s="3"/>
      <c r="B76" s="4"/>
      <c r="C76" s="4"/>
      <c r="D76" s="4"/>
      <c r="E76" s="4"/>
      <c r="F76" s="4"/>
      <c r="G76" s="4"/>
      <c r="H76" s="4"/>
      <c r="I76" s="4"/>
      <c r="J76" s="4"/>
      <c r="K76" s="4"/>
      <c r="L76" s="4"/>
      <c r="M76" s="4"/>
      <c r="N76" s="4"/>
      <c r="O76" s="4"/>
      <c r="P76" s="4"/>
      <c r="Q76" s="4"/>
      <c r="R76" s="4"/>
      <c r="S76" s="4"/>
      <c r="T76" s="4"/>
      <c r="U76" s="4"/>
      <c r="V76" s="4"/>
      <c r="W76" s="4"/>
      <c r="X76" s="4"/>
      <c r="Y76" s="7"/>
      <c r="Z76" s="7"/>
      <c r="AA76" s="4"/>
      <c r="AB76" s="4"/>
      <c r="AC76" s="4"/>
      <c r="AD76" s="4"/>
      <c r="AE76" s="4"/>
      <c r="AF76" s="4"/>
      <c r="AG76" s="4"/>
      <c r="AH76" s="4"/>
      <c r="AI76" s="4"/>
      <c r="AJ76" s="4"/>
      <c r="AK76" s="1"/>
      <c r="AL76" s="1"/>
      <c r="AM76" s="1"/>
      <c r="AN76" s="1"/>
      <c r="AO76" s="1"/>
      <c r="AP76" s="1"/>
      <c r="AQ76" s="1"/>
      <c r="AR76" s="1"/>
      <c r="AS76" s="1"/>
      <c r="AT76" s="1"/>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row>
    <row r="77" spans="1:112" x14ac:dyDescent="0.25">
      <c r="A77" s="3"/>
      <c r="B77" s="4"/>
      <c r="C77" s="4"/>
      <c r="D77" s="4"/>
      <c r="E77" s="4"/>
      <c r="F77" s="4"/>
      <c r="G77" s="4"/>
      <c r="H77" s="4"/>
      <c r="I77" s="4"/>
      <c r="J77" s="4"/>
      <c r="K77" s="4"/>
      <c r="L77" s="4"/>
      <c r="M77" s="4"/>
      <c r="N77" s="4"/>
      <c r="O77" s="4"/>
      <c r="P77" s="4"/>
      <c r="Q77" s="4"/>
      <c r="R77" s="4"/>
      <c r="S77" s="4"/>
      <c r="T77" s="4"/>
      <c r="U77" s="4"/>
      <c r="V77" s="4"/>
      <c r="W77" s="4"/>
      <c r="X77" s="4"/>
      <c r="Y77" s="7"/>
      <c r="Z77" s="7"/>
      <c r="AA77" s="4"/>
      <c r="AB77" s="4"/>
      <c r="AC77" s="4"/>
      <c r="AD77" s="4"/>
      <c r="AE77" s="4"/>
      <c r="AF77" s="4"/>
      <c r="AG77" s="4"/>
      <c r="AH77" s="4"/>
      <c r="AI77" s="4"/>
      <c r="AJ77" s="4"/>
      <c r="AK77" s="1"/>
      <c r="AL77" s="1"/>
      <c r="AM77" s="1"/>
      <c r="AN77" s="1"/>
      <c r="AO77" s="1"/>
      <c r="AP77" s="1"/>
      <c r="AQ77" s="1"/>
      <c r="AR77" s="1"/>
      <c r="AS77" s="1"/>
      <c r="AT77" s="1"/>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row>
    <row r="78" spans="1:112" x14ac:dyDescent="0.25">
      <c r="A78" s="3"/>
      <c r="B78" s="4"/>
      <c r="C78" s="4"/>
      <c r="D78" s="4"/>
      <c r="E78" s="4"/>
      <c r="F78" s="4"/>
      <c r="G78" s="4"/>
      <c r="H78" s="4"/>
      <c r="I78" s="4"/>
      <c r="J78" s="4"/>
      <c r="K78" s="4"/>
      <c r="L78" s="4"/>
      <c r="M78" s="4"/>
      <c r="N78" s="4"/>
      <c r="O78" s="4"/>
      <c r="P78" s="4"/>
      <c r="Q78" s="4"/>
      <c r="R78" s="4"/>
      <c r="S78" s="4"/>
      <c r="T78" s="4"/>
      <c r="U78" s="4"/>
      <c r="V78" s="4"/>
      <c r="W78" s="4"/>
      <c r="X78" s="4"/>
      <c r="Y78" s="7"/>
      <c r="Z78" s="7"/>
      <c r="AA78" s="4"/>
      <c r="AB78" s="4"/>
      <c r="AC78" s="4"/>
      <c r="AD78" s="4"/>
      <c r="AE78" s="4"/>
      <c r="AF78" s="4"/>
      <c r="AG78" s="4"/>
      <c r="AH78" s="4"/>
      <c r="AI78" s="4"/>
      <c r="AJ78" s="4"/>
      <c r="AK78" s="1"/>
      <c r="AL78" s="1"/>
      <c r="AM78" s="1"/>
      <c r="AN78" s="1"/>
      <c r="AO78" s="1"/>
      <c r="AP78" s="1"/>
      <c r="AQ78" s="1"/>
      <c r="AR78" s="1"/>
      <c r="AS78" s="1"/>
      <c r="AT78" s="1"/>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row>
    <row r="79" spans="1:112" x14ac:dyDescent="0.25">
      <c r="A79" s="3"/>
      <c r="B79" s="4"/>
      <c r="C79" s="4"/>
      <c r="D79" s="4"/>
      <c r="E79" s="4"/>
      <c r="F79" s="4"/>
      <c r="G79" s="4"/>
      <c r="H79" s="4"/>
      <c r="I79" s="4"/>
      <c r="J79" s="4"/>
      <c r="K79" s="4"/>
      <c r="L79" s="4"/>
      <c r="M79" s="4"/>
      <c r="N79" s="4"/>
      <c r="O79" s="4"/>
      <c r="P79" s="4"/>
      <c r="Q79" s="4"/>
      <c r="R79" s="4"/>
      <c r="S79" s="4"/>
      <c r="T79" s="4"/>
      <c r="U79" s="4"/>
      <c r="V79" s="4"/>
      <c r="W79" s="4"/>
      <c r="X79" s="4"/>
      <c r="Y79" s="7"/>
      <c r="Z79" s="7"/>
      <c r="AA79" s="4"/>
      <c r="AB79" s="4"/>
      <c r="AC79" s="4"/>
      <c r="AD79" s="4"/>
      <c r="AE79" s="4"/>
      <c r="AF79" s="4"/>
      <c r="AG79" s="4"/>
      <c r="AH79" s="4"/>
      <c r="AI79" s="4"/>
      <c r="AJ79" s="4"/>
      <c r="AK79" s="1"/>
      <c r="AL79" s="1"/>
      <c r="AM79" s="1"/>
      <c r="AN79" s="1"/>
      <c r="AO79" s="1"/>
      <c r="AP79" s="1"/>
      <c r="AQ79" s="1"/>
      <c r="AR79" s="1"/>
      <c r="AS79" s="1"/>
      <c r="AT79" s="1"/>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row>
    <row r="80" spans="1:112" x14ac:dyDescent="0.25">
      <c r="A80" s="3"/>
      <c r="B80" s="4"/>
      <c r="C80" s="4"/>
      <c r="D80" s="4"/>
      <c r="E80" s="4"/>
      <c r="F80" s="4"/>
      <c r="G80" s="4"/>
      <c r="H80" s="4"/>
      <c r="I80" s="4"/>
      <c r="J80" s="4"/>
      <c r="K80" s="4"/>
      <c r="L80" s="4"/>
      <c r="M80" s="4"/>
      <c r="N80" s="4"/>
      <c r="O80" s="4"/>
      <c r="P80" s="4"/>
      <c r="Q80" s="4"/>
      <c r="R80" s="4"/>
      <c r="S80" s="4"/>
      <c r="T80" s="4"/>
      <c r="U80" s="4"/>
      <c r="V80" s="4"/>
      <c r="W80" s="4"/>
      <c r="X80" s="4"/>
      <c r="Y80" s="7"/>
      <c r="Z80" s="7"/>
      <c r="AA80" s="4"/>
      <c r="AB80" s="4"/>
      <c r="AC80" s="4"/>
      <c r="AD80" s="4"/>
      <c r="AE80" s="4"/>
      <c r="AF80" s="4"/>
      <c r="AG80" s="4"/>
      <c r="AH80" s="4"/>
      <c r="AI80" s="4"/>
      <c r="AJ80" s="4"/>
      <c r="AK80" s="1"/>
      <c r="AL80" s="1"/>
      <c r="AM80" s="1"/>
      <c r="AN80" s="1"/>
      <c r="AO80" s="1"/>
      <c r="AP80" s="1"/>
      <c r="AQ80" s="1"/>
      <c r="AR80" s="1"/>
      <c r="AS80" s="1"/>
      <c r="AT80" s="1"/>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row>
    <row r="81" spans="1:112" x14ac:dyDescent="0.25">
      <c r="A81" s="3"/>
      <c r="B81" s="4"/>
      <c r="C81" s="4"/>
      <c r="D81" s="4"/>
      <c r="E81" s="4"/>
      <c r="F81" s="4"/>
      <c r="G81" s="4"/>
      <c r="H81" s="4"/>
      <c r="I81" s="4"/>
      <c r="J81" s="4"/>
      <c r="K81" s="4"/>
      <c r="L81" s="4"/>
      <c r="M81" s="4"/>
      <c r="N81" s="4"/>
      <c r="O81" s="4"/>
      <c r="P81" s="4"/>
      <c r="Q81" s="4"/>
      <c r="R81" s="4"/>
      <c r="S81" s="4"/>
      <c r="T81" s="4"/>
      <c r="U81" s="4"/>
      <c r="V81" s="4"/>
      <c r="W81" s="4"/>
      <c r="X81" s="4"/>
      <c r="Y81" s="7"/>
      <c r="Z81" s="7"/>
      <c r="AA81" s="4"/>
      <c r="AB81" s="4"/>
      <c r="AC81" s="4"/>
      <c r="AD81" s="4"/>
      <c r="AE81" s="4"/>
      <c r="AF81" s="4"/>
      <c r="AG81" s="4"/>
      <c r="AH81" s="4"/>
      <c r="AI81" s="4"/>
      <c r="AJ81" s="4"/>
      <c r="AK81" s="1"/>
      <c r="AL81" s="1"/>
      <c r="AM81" s="1"/>
      <c r="AN81" s="1"/>
      <c r="AO81" s="1"/>
      <c r="AP81" s="1"/>
      <c r="AQ81" s="1"/>
      <c r="AR81" s="1"/>
      <c r="AS81" s="1"/>
      <c r="AT81" s="1"/>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row>
    <row r="82" spans="1:112" x14ac:dyDescent="0.25">
      <c r="A82" s="3"/>
      <c r="B82" s="4"/>
      <c r="C82" s="4"/>
      <c r="D82" s="4"/>
      <c r="E82" s="4"/>
      <c r="F82" s="4"/>
      <c r="G82" s="4"/>
      <c r="H82" s="4"/>
      <c r="I82" s="4"/>
      <c r="J82" s="4"/>
      <c r="K82" s="4"/>
      <c r="L82" s="4"/>
      <c r="M82" s="4"/>
      <c r="N82" s="4"/>
      <c r="O82" s="4"/>
      <c r="P82" s="4"/>
      <c r="Q82" s="4"/>
      <c r="R82" s="4"/>
      <c r="S82" s="4"/>
      <c r="T82" s="4"/>
      <c r="U82" s="4"/>
      <c r="V82" s="4"/>
      <c r="W82" s="4"/>
      <c r="X82" s="4"/>
      <c r="Y82" s="7"/>
      <c r="Z82" s="7"/>
      <c r="AA82" s="4"/>
      <c r="AB82" s="4"/>
      <c r="AC82" s="4"/>
      <c r="AD82" s="4"/>
      <c r="AE82" s="4"/>
      <c r="AF82" s="4"/>
      <c r="AG82" s="4"/>
      <c r="AH82" s="4"/>
      <c r="AI82" s="4"/>
      <c r="AJ82" s="4"/>
      <c r="AK82" s="1"/>
      <c r="AL82" s="1"/>
      <c r="AM82" s="1"/>
      <c r="AN82" s="1"/>
      <c r="AO82" s="1"/>
      <c r="AP82" s="1"/>
      <c r="AQ82" s="1"/>
      <c r="AR82" s="1"/>
      <c r="AS82" s="1"/>
      <c r="AT82" s="1"/>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row>
    <row r="83" spans="1:112" x14ac:dyDescent="0.25">
      <c r="A83" s="3"/>
      <c r="B83" s="4"/>
      <c r="C83" s="4"/>
      <c r="D83" s="4"/>
      <c r="E83" s="4"/>
      <c r="F83" s="4"/>
      <c r="G83" s="4"/>
      <c r="H83" s="4"/>
      <c r="I83" s="4"/>
      <c r="J83" s="4"/>
      <c r="K83" s="4"/>
      <c r="L83" s="4"/>
      <c r="M83" s="4"/>
      <c r="N83" s="4"/>
      <c r="O83" s="4"/>
      <c r="P83" s="4"/>
      <c r="Q83" s="4"/>
      <c r="R83" s="4"/>
      <c r="S83" s="4"/>
      <c r="T83" s="4"/>
      <c r="U83" s="4"/>
      <c r="V83" s="4"/>
      <c r="W83" s="4"/>
      <c r="X83" s="4"/>
      <c r="Y83" s="7"/>
      <c r="Z83" s="7"/>
      <c r="AA83" s="4"/>
      <c r="AB83" s="4"/>
      <c r="AC83" s="4"/>
      <c r="AD83" s="4"/>
      <c r="AE83" s="4"/>
      <c r="AF83" s="4"/>
      <c r="AG83" s="4"/>
      <c r="AH83" s="4"/>
      <c r="AI83" s="4"/>
      <c r="AJ83" s="4"/>
      <c r="AK83" s="1"/>
      <c r="AL83" s="1"/>
      <c r="AM83" s="1"/>
      <c r="AN83" s="1"/>
      <c r="AO83" s="1"/>
      <c r="AP83" s="1"/>
      <c r="AQ83" s="1"/>
      <c r="AR83" s="1"/>
      <c r="AS83" s="1"/>
      <c r="AT83" s="1"/>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row>
    <row r="84" spans="1:112" x14ac:dyDescent="0.25">
      <c r="A84" s="3"/>
      <c r="B84" s="4"/>
      <c r="C84" s="4"/>
      <c r="D84" s="4"/>
      <c r="E84" s="4"/>
      <c r="F84" s="4"/>
      <c r="G84" s="4"/>
      <c r="H84" s="4"/>
      <c r="I84" s="4"/>
      <c r="J84" s="4"/>
      <c r="K84" s="4"/>
      <c r="L84" s="4"/>
      <c r="M84" s="4"/>
      <c r="N84" s="4"/>
      <c r="O84" s="4"/>
      <c r="P84" s="4"/>
      <c r="Q84" s="4"/>
      <c r="R84" s="4"/>
      <c r="S84" s="4"/>
      <c r="T84" s="4"/>
      <c r="U84" s="4"/>
      <c r="V84" s="4"/>
      <c r="W84" s="4"/>
      <c r="X84" s="4"/>
      <c r="Y84" s="7"/>
      <c r="Z84" s="7"/>
      <c r="AA84" s="4"/>
      <c r="AB84" s="4"/>
      <c r="AC84" s="4"/>
      <c r="AD84" s="4"/>
      <c r="AE84" s="4"/>
      <c r="AF84" s="4"/>
      <c r="AG84" s="4"/>
      <c r="AH84" s="4"/>
      <c r="AI84" s="4"/>
      <c r="AJ84" s="4"/>
      <c r="AK84" s="1"/>
      <c r="AL84" s="1"/>
      <c r="AM84" s="1"/>
      <c r="AN84" s="1"/>
      <c r="AO84" s="1"/>
      <c r="AP84" s="1"/>
      <c r="AQ84" s="1"/>
      <c r="AR84" s="1"/>
      <c r="AS84" s="1"/>
      <c r="AT84" s="1"/>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row>
    <row r="85" spans="1:112" x14ac:dyDescent="0.25">
      <c r="A85" s="3"/>
      <c r="B85" s="4"/>
      <c r="C85" s="4"/>
      <c r="D85" s="4"/>
      <c r="E85" s="4"/>
      <c r="F85" s="4"/>
      <c r="G85" s="4"/>
      <c r="H85" s="4"/>
      <c r="I85" s="4"/>
      <c r="J85" s="4"/>
      <c r="K85" s="4"/>
      <c r="L85" s="4"/>
      <c r="M85" s="4"/>
      <c r="N85" s="4"/>
      <c r="O85" s="4"/>
      <c r="P85" s="4"/>
      <c r="Q85" s="4"/>
      <c r="R85" s="4"/>
      <c r="S85" s="4"/>
      <c r="T85" s="4"/>
      <c r="U85" s="4"/>
      <c r="V85" s="4"/>
      <c r="W85" s="4"/>
      <c r="X85" s="4"/>
      <c r="Y85" s="7"/>
      <c r="Z85" s="7"/>
      <c r="AA85" s="4"/>
      <c r="AB85" s="4"/>
      <c r="AC85" s="4"/>
      <c r="AD85" s="4"/>
      <c r="AE85" s="4"/>
      <c r="AF85" s="4"/>
      <c r="AG85" s="4"/>
      <c r="AH85" s="4"/>
      <c r="AI85" s="4"/>
      <c r="AJ85" s="4"/>
      <c r="AK85" s="1"/>
      <c r="AL85" s="1"/>
      <c r="AM85" s="1"/>
      <c r="AN85" s="1"/>
      <c r="AO85" s="1"/>
      <c r="AP85" s="1"/>
      <c r="AQ85" s="1"/>
      <c r="AR85" s="1"/>
      <c r="AS85" s="1"/>
      <c r="AT85" s="1"/>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row>
    <row r="86" spans="1:112" x14ac:dyDescent="0.25">
      <c r="A86" s="3"/>
      <c r="B86" s="4"/>
      <c r="C86" s="4"/>
      <c r="D86" s="4"/>
      <c r="E86" s="4"/>
      <c r="F86" s="4"/>
      <c r="G86" s="4"/>
      <c r="H86" s="4"/>
      <c r="I86" s="4"/>
      <c r="J86" s="4"/>
      <c r="K86" s="4"/>
      <c r="L86" s="4"/>
      <c r="M86" s="4"/>
      <c r="N86" s="4"/>
      <c r="O86" s="4"/>
      <c r="P86" s="4"/>
      <c r="Q86" s="4"/>
      <c r="R86" s="4"/>
      <c r="S86" s="4"/>
      <c r="T86" s="4"/>
      <c r="U86" s="4"/>
      <c r="V86" s="4"/>
      <c r="W86" s="4"/>
      <c r="X86" s="4"/>
      <c r="Y86" s="7"/>
      <c r="Z86" s="7"/>
      <c r="AA86" s="4"/>
      <c r="AB86" s="4"/>
      <c r="AC86" s="4"/>
      <c r="AD86" s="4"/>
      <c r="AE86" s="4"/>
      <c r="AF86" s="4"/>
      <c r="AG86" s="4"/>
      <c r="AH86" s="4"/>
      <c r="AI86" s="4"/>
      <c r="AJ86" s="4"/>
      <c r="AK86" s="1"/>
      <c r="AL86" s="1"/>
      <c r="AM86" s="1"/>
      <c r="AN86" s="1"/>
      <c r="AO86" s="1"/>
      <c r="AP86" s="1"/>
      <c r="AQ86" s="1"/>
      <c r="AR86" s="1"/>
      <c r="AS86" s="1"/>
      <c r="AT86" s="1"/>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row>
    <row r="87" spans="1:112" x14ac:dyDescent="0.25">
      <c r="A87" s="3"/>
      <c r="B87" s="4"/>
      <c r="C87" s="4"/>
      <c r="D87" s="4"/>
      <c r="E87" s="4"/>
      <c r="F87" s="4"/>
      <c r="G87" s="4"/>
      <c r="H87" s="4"/>
      <c r="I87" s="4"/>
      <c r="J87" s="4"/>
      <c r="K87" s="4"/>
      <c r="L87" s="4"/>
      <c r="M87" s="4"/>
      <c r="N87" s="4"/>
      <c r="O87" s="4"/>
      <c r="P87" s="4"/>
      <c r="Q87" s="4"/>
      <c r="R87" s="4"/>
      <c r="S87" s="4"/>
      <c r="T87" s="4"/>
      <c r="U87" s="4"/>
      <c r="V87" s="4"/>
      <c r="W87" s="4"/>
      <c r="X87" s="4"/>
      <c r="Y87" s="7"/>
      <c r="Z87" s="7"/>
      <c r="AA87" s="4"/>
      <c r="AB87" s="4"/>
      <c r="AC87" s="4"/>
      <c r="AD87" s="4"/>
      <c r="AE87" s="4"/>
      <c r="AF87" s="4"/>
      <c r="AG87" s="4"/>
      <c r="AH87" s="4"/>
      <c r="AI87" s="4"/>
      <c r="AJ87" s="4"/>
      <c r="AK87" s="1"/>
      <c r="AL87" s="1"/>
      <c r="AM87" s="1"/>
      <c r="AN87" s="1"/>
      <c r="AO87" s="1"/>
      <c r="AP87" s="1"/>
      <c r="AQ87" s="1"/>
      <c r="AR87" s="1"/>
      <c r="AS87" s="1"/>
      <c r="AT87" s="1"/>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row>
    <row r="88" spans="1:112" x14ac:dyDescent="0.25">
      <c r="A88" s="3"/>
      <c r="B88" s="4"/>
      <c r="C88" s="4"/>
      <c r="D88" s="4"/>
      <c r="E88" s="4"/>
      <c r="F88" s="4"/>
      <c r="G88" s="4"/>
      <c r="H88" s="4"/>
      <c r="I88" s="4"/>
      <c r="J88" s="4"/>
      <c r="K88" s="4"/>
      <c r="L88" s="4"/>
      <c r="M88" s="4"/>
      <c r="N88" s="4"/>
      <c r="O88" s="4"/>
      <c r="P88" s="4"/>
      <c r="Q88" s="4"/>
      <c r="R88" s="4"/>
      <c r="S88" s="4"/>
      <c r="T88" s="4"/>
      <c r="U88" s="4"/>
      <c r="V88" s="4"/>
      <c r="W88" s="4"/>
      <c r="X88" s="4"/>
      <c r="Y88" s="7"/>
      <c r="Z88" s="7"/>
      <c r="AA88" s="4"/>
      <c r="AB88" s="4"/>
      <c r="AC88" s="4"/>
      <c r="AD88" s="4"/>
      <c r="AE88" s="4"/>
      <c r="AF88" s="4"/>
      <c r="AG88" s="4"/>
      <c r="AH88" s="4"/>
      <c r="AI88" s="4"/>
      <c r="AJ88" s="4"/>
      <c r="AK88" s="1"/>
      <c r="AL88" s="1"/>
      <c r="AM88" s="1"/>
      <c r="AN88" s="1"/>
      <c r="AO88" s="1"/>
      <c r="AP88" s="1"/>
      <c r="AQ88" s="1"/>
      <c r="AR88" s="1"/>
      <c r="AS88" s="1"/>
      <c r="AT88" s="1"/>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row>
    <row r="89" spans="1:112" x14ac:dyDescent="0.25">
      <c r="A89" s="3"/>
      <c r="B89" s="4"/>
      <c r="C89" s="4"/>
      <c r="D89" s="4"/>
      <c r="E89" s="4"/>
      <c r="F89" s="4"/>
      <c r="G89" s="4"/>
      <c r="H89" s="4"/>
      <c r="I89" s="4"/>
      <c r="J89" s="4"/>
      <c r="K89" s="4"/>
      <c r="L89" s="4"/>
      <c r="M89" s="4"/>
      <c r="N89" s="4"/>
      <c r="O89" s="4"/>
      <c r="P89" s="4"/>
      <c r="Q89" s="4"/>
      <c r="R89" s="4"/>
      <c r="S89" s="4"/>
      <c r="T89" s="4"/>
      <c r="U89" s="4"/>
      <c r="V89" s="4"/>
      <c r="W89" s="4"/>
      <c r="X89" s="4"/>
      <c r="Y89" s="7"/>
      <c r="Z89" s="7"/>
      <c r="AA89" s="4"/>
      <c r="AB89" s="4"/>
      <c r="AC89" s="4"/>
      <c r="AD89" s="4"/>
      <c r="AE89" s="4"/>
      <c r="AF89" s="4"/>
      <c r="AG89" s="4"/>
      <c r="AH89" s="4"/>
      <c r="AI89" s="4"/>
      <c r="AJ89" s="4"/>
      <c r="AK89" s="1"/>
      <c r="AL89" s="1"/>
      <c r="AM89" s="1"/>
      <c r="AN89" s="1"/>
      <c r="AO89" s="1"/>
      <c r="AP89" s="1"/>
      <c r="AQ89" s="1"/>
      <c r="AR89" s="1"/>
      <c r="AS89" s="1"/>
      <c r="AT89" s="1"/>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row>
    <row r="90" spans="1:112" x14ac:dyDescent="0.25">
      <c r="A90" s="3"/>
      <c r="B90" s="4"/>
      <c r="C90" s="4"/>
      <c r="D90" s="4"/>
      <c r="E90" s="4"/>
      <c r="F90" s="4"/>
      <c r="G90" s="4"/>
      <c r="H90" s="4"/>
      <c r="I90" s="4"/>
      <c r="J90" s="4"/>
      <c r="K90" s="4"/>
      <c r="L90" s="4"/>
      <c r="M90" s="4"/>
      <c r="N90" s="4"/>
      <c r="O90" s="4"/>
      <c r="P90" s="4"/>
      <c r="Q90" s="4"/>
      <c r="R90" s="4"/>
      <c r="S90" s="4"/>
      <c r="T90" s="4"/>
      <c r="U90" s="4"/>
      <c r="V90" s="4"/>
      <c r="W90" s="4"/>
      <c r="X90" s="4"/>
      <c r="Y90" s="7"/>
      <c r="Z90" s="7"/>
      <c r="AA90" s="4"/>
      <c r="AB90" s="4"/>
      <c r="AC90" s="4"/>
      <c r="AD90" s="4"/>
      <c r="AE90" s="4"/>
      <c r="AF90" s="4"/>
      <c r="AG90" s="4"/>
      <c r="AH90" s="4"/>
      <c r="AI90" s="4"/>
      <c r="AJ90" s="4"/>
      <c r="AK90" s="1"/>
      <c r="AL90" s="1"/>
      <c r="AM90" s="1"/>
      <c r="AN90" s="1"/>
      <c r="AO90" s="1"/>
      <c r="AP90" s="1"/>
      <c r="AQ90" s="1"/>
      <c r="AR90" s="1"/>
      <c r="AS90" s="1"/>
      <c r="AT90" s="1"/>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row>
    <row r="91" spans="1:112" x14ac:dyDescent="0.25">
      <c r="A91" s="3"/>
      <c r="B91" s="4"/>
      <c r="C91" s="4"/>
      <c r="D91" s="4"/>
      <c r="E91" s="4"/>
      <c r="F91" s="4"/>
      <c r="G91" s="4"/>
      <c r="H91" s="4"/>
      <c r="I91" s="4"/>
      <c r="J91" s="4"/>
      <c r="K91" s="4"/>
      <c r="L91" s="4"/>
      <c r="M91" s="4"/>
      <c r="N91" s="4"/>
      <c r="O91" s="4"/>
      <c r="P91" s="4"/>
      <c r="Q91" s="4"/>
      <c r="R91" s="4"/>
      <c r="S91" s="4"/>
      <c r="T91" s="4"/>
      <c r="U91" s="4"/>
      <c r="V91" s="4"/>
      <c r="W91" s="4"/>
      <c r="X91" s="4"/>
      <c r="Y91" s="7"/>
      <c r="Z91" s="7"/>
      <c r="AA91" s="4"/>
      <c r="AB91" s="4"/>
      <c r="AC91" s="4"/>
      <c r="AD91" s="4"/>
      <c r="AE91" s="4"/>
      <c r="AF91" s="4"/>
      <c r="AG91" s="4"/>
      <c r="AH91" s="4"/>
      <c r="AI91" s="4"/>
      <c r="AJ91" s="4"/>
      <c r="AK91" s="1"/>
      <c r="AL91" s="1"/>
      <c r="AM91" s="1"/>
      <c r="AN91" s="1"/>
      <c r="AO91" s="1"/>
      <c r="AP91" s="1"/>
      <c r="AQ91" s="1"/>
      <c r="AR91" s="1"/>
      <c r="AS91" s="1"/>
      <c r="AT91" s="1"/>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row>
    <row r="92" spans="1:112" x14ac:dyDescent="0.25">
      <c r="A92" s="3"/>
      <c r="B92" s="4"/>
      <c r="C92" s="4"/>
      <c r="D92" s="4"/>
      <c r="E92" s="4"/>
      <c r="F92" s="4"/>
      <c r="G92" s="4"/>
      <c r="H92" s="4"/>
      <c r="I92" s="4"/>
      <c r="J92" s="4"/>
      <c r="K92" s="4"/>
      <c r="L92" s="4"/>
      <c r="M92" s="4"/>
      <c r="N92" s="4"/>
      <c r="O92" s="4"/>
      <c r="P92" s="4"/>
      <c r="Q92" s="4"/>
      <c r="R92" s="4"/>
      <c r="S92" s="4"/>
      <c r="T92" s="4"/>
      <c r="U92" s="4"/>
      <c r="V92" s="4"/>
      <c r="W92" s="4"/>
      <c r="X92" s="4"/>
      <c r="Y92" s="7"/>
      <c r="Z92" s="7"/>
      <c r="AA92" s="4"/>
      <c r="AB92" s="4"/>
      <c r="AC92" s="4"/>
      <c r="AD92" s="4"/>
      <c r="AE92" s="4"/>
      <c r="AF92" s="4"/>
      <c r="AG92" s="4"/>
      <c r="AH92" s="4"/>
      <c r="AI92" s="4"/>
      <c r="AJ92" s="4"/>
      <c r="AK92" s="1"/>
      <c r="AL92" s="1"/>
      <c r="AM92" s="1"/>
      <c r="AN92" s="1"/>
      <c r="AO92" s="1"/>
      <c r="AP92" s="1"/>
      <c r="AQ92" s="1"/>
      <c r="AR92" s="1"/>
      <c r="AS92" s="1"/>
      <c r="AT92" s="1"/>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row>
    <row r="93" spans="1:112" x14ac:dyDescent="0.25">
      <c r="A93" s="3"/>
      <c r="B93" s="4"/>
      <c r="C93" s="4"/>
      <c r="D93" s="4"/>
      <c r="E93" s="4"/>
      <c r="F93" s="4"/>
      <c r="G93" s="4"/>
      <c r="H93" s="4"/>
      <c r="I93" s="4"/>
      <c r="J93" s="4"/>
      <c r="K93" s="4"/>
      <c r="L93" s="4"/>
      <c r="M93" s="4"/>
      <c r="N93" s="4"/>
      <c r="O93" s="4"/>
      <c r="P93" s="4"/>
      <c r="Q93" s="4"/>
      <c r="R93" s="4"/>
      <c r="S93" s="4"/>
      <c r="T93" s="4"/>
      <c r="U93" s="4"/>
      <c r="V93" s="4"/>
      <c r="W93" s="4"/>
      <c r="X93" s="4"/>
      <c r="Y93" s="7"/>
      <c r="Z93" s="7"/>
      <c r="AA93" s="4"/>
      <c r="AB93" s="4"/>
      <c r="AC93" s="4"/>
      <c r="AD93" s="4"/>
      <c r="AE93" s="4"/>
      <c r="AF93" s="4"/>
      <c r="AG93" s="4"/>
      <c r="AH93" s="4"/>
      <c r="AI93" s="4"/>
      <c r="AJ93" s="4"/>
      <c r="AK93" s="1"/>
      <c r="AL93" s="1"/>
      <c r="AM93" s="1"/>
      <c r="AN93" s="1"/>
      <c r="AO93" s="1"/>
      <c r="AP93" s="1"/>
      <c r="AQ93" s="1"/>
      <c r="AR93" s="1"/>
      <c r="AS93" s="1"/>
      <c r="AT93" s="1"/>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row>
    <row r="94" spans="1:112" x14ac:dyDescent="0.25">
      <c r="A94" s="3"/>
      <c r="B94" s="4"/>
      <c r="C94" s="4"/>
      <c r="D94" s="4"/>
      <c r="E94" s="4"/>
      <c r="F94" s="4"/>
      <c r="G94" s="4"/>
      <c r="H94" s="4"/>
      <c r="I94" s="4"/>
      <c r="J94" s="4"/>
      <c r="K94" s="4"/>
      <c r="L94" s="4"/>
      <c r="M94" s="4"/>
      <c r="N94" s="4"/>
      <c r="O94" s="4"/>
      <c r="P94" s="4"/>
      <c r="Q94" s="4"/>
      <c r="R94" s="4"/>
      <c r="S94" s="4"/>
      <c r="T94" s="4"/>
      <c r="U94" s="4"/>
      <c r="V94" s="4"/>
      <c r="W94" s="4"/>
      <c r="X94" s="4"/>
      <c r="Y94" s="7"/>
      <c r="Z94" s="7"/>
      <c r="AA94" s="4"/>
      <c r="AB94" s="4"/>
      <c r="AC94" s="4"/>
      <c r="AD94" s="4"/>
      <c r="AE94" s="4"/>
      <c r="AF94" s="4"/>
      <c r="AG94" s="4"/>
      <c r="AH94" s="4"/>
      <c r="AI94" s="4"/>
      <c r="AJ94" s="4"/>
      <c r="AK94" s="1"/>
      <c r="AL94" s="1"/>
      <c r="AM94" s="1"/>
      <c r="AN94" s="1"/>
      <c r="AO94" s="1"/>
      <c r="AP94" s="1"/>
      <c r="AQ94" s="1"/>
      <c r="AR94" s="1"/>
      <c r="AS94" s="1"/>
      <c r="AT94" s="1"/>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row>
    <row r="95" spans="1:112" x14ac:dyDescent="0.25">
      <c r="A95" s="3"/>
      <c r="B95" s="4"/>
      <c r="C95" s="4"/>
      <c r="D95" s="4"/>
      <c r="E95" s="4"/>
      <c r="F95" s="4"/>
      <c r="G95" s="4"/>
      <c r="H95" s="4"/>
      <c r="I95" s="4"/>
      <c r="J95" s="4"/>
      <c r="K95" s="4"/>
      <c r="L95" s="4"/>
      <c r="M95" s="4"/>
      <c r="N95" s="4"/>
      <c r="O95" s="4"/>
      <c r="P95" s="4"/>
      <c r="Q95" s="4"/>
      <c r="R95" s="4"/>
      <c r="S95" s="4"/>
      <c r="T95" s="4"/>
      <c r="U95" s="4"/>
      <c r="V95" s="4"/>
      <c r="W95" s="4"/>
      <c r="X95" s="4"/>
      <c r="Y95" s="7"/>
      <c r="Z95" s="7"/>
      <c r="AA95" s="4"/>
      <c r="AB95" s="4"/>
      <c r="AC95" s="4"/>
      <c r="AD95" s="4"/>
      <c r="AE95" s="4"/>
      <c r="AF95" s="4"/>
      <c r="AG95" s="4"/>
      <c r="AH95" s="4"/>
      <c r="AI95" s="4"/>
      <c r="AJ95" s="4"/>
      <c r="AK95" s="1"/>
      <c r="AL95" s="1"/>
      <c r="AM95" s="1"/>
      <c r="AN95" s="1"/>
      <c r="AO95" s="1"/>
      <c r="AP95" s="1"/>
      <c r="AQ95" s="1"/>
      <c r="AR95" s="1"/>
      <c r="AS95" s="1"/>
      <c r="AT95" s="1"/>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row>
    <row r="96" spans="1:112" x14ac:dyDescent="0.25">
      <c r="A96" s="3"/>
      <c r="B96" s="4"/>
      <c r="C96" s="4"/>
      <c r="D96" s="4"/>
      <c r="E96" s="4"/>
      <c r="F96" s="4"/>
      <c r="G96" s="4"/>
      <c r="H96" s="4"/>
      <c r="I96" s="4"/>
      <c r="J96" s="4"/>
      <c r="K96" s="4"/>
      <c r="L96" s="4"/>
      <c r="M96" s="4"/>
      <c r="N96" s="4"/>
      <c r="O96" s="4"/>
      <c r="P96" s="4"/>
      <c r="Q96" s="4"/>
      <c r="R96" s="4"/>
      <c r="S96" s="4"/>
      <c r="T96" s="4"/>
      <c r="U96" s="4"/>
      <c r="V96" s="4"/>
      <c r="W96" s="4"/>
      <c r="X96" s="4"/>
      <c r="Y96" s="7"/>
      <c r="Z96" s="7"/>
      <c r="AA96" s="4"/>
      <c r="AB96" s="4"/>
      <c r="AC96" s="4"/>
      <c r="AD96" s="4"/>
      <c r="AE96" s="4"/>
      <c r="AF96" s="4"/>
      <c r="AG96" s="4"/>
      <c r="AH96" s="4"/>
      <c r="AI96" s="4"/>
      <c r="AJ96" s="4"/>
      <c r="AK96" s="1"/>
      <c r="AL96" s="1"/>
      <c r="AM96" s="1"/>
      <c r="AN96" s="1"/>
      <c r="AO96" s="1"/>
      <c r="AP96" s="1"/>
      <c r="AQ96" s="1"/>
      <c r="AR96" s="1"/>
      <c r="AS96" s="1"/>
      <c r="AT96" s="1"/>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row>
    <row r="97" spans="1:112" x14ac:dyDescent="0.25">
      <c r="A97" s="3"/>
      <c r="B97" s="4"/>
      <c r="C97" s="4"/>
      <c r="D97" s="4"/>
      <c r="E97" s="4"/>
      <c r="F97" s="4"/>
      <c r="G97" s="4"/>
      <c r="H97" s="4"/>
      <c r="I97" s="4"/>
      <c r="J97" s="4"/>
      <c r="K97" s="4"/>
      <c r="L97" s="4"/>
      <c r="M97" s="4"/>
      <c r="N97" s="4"/>
      <c r="O97" s="4"/>
      <c r="P97" s="4"/>
      <c r="Q97" s="4"/>
      <c r="R97" s="4"/>
      <c r="S97" s="4"/>
      <c r="T97" s="4"/>
      <c r="U97" s="4"/>
      <c r="V97" s="4"/>
      <c r="W97" s="4"/>
      <c r="X97" s="4"/>
      <c r="Y97" s="7"/>
      <c r="Z97" s="7"/>
      <c r="AA97" s="4"/>
      <c r="AB97" s="4"/>
      <c r="AC97" s="4"/>
      <c r="AD97" s="4"/>
      <c r="AE97" s="4"/>
      <c r="AF97" s="4"/>
      <c r="AG97" s="4"/>
      <c r="AH97" s="4"/>
      <c r="AI97" s="4"/>
      <c r="AJ97" s="4"/>
      <c r="AK97" s="1"/>
      <c r="AL97" s="1"/>
      <c r="AM97" s="1"/>
      <c r="AN97" s="1"/>
      <c r="AO97" s="1"/>
      <c r="AP97" s="1"/>
      <c r="AQ97" s="1"/>
      <c r="AR97" s="1"/>
      <c r="AS97" s="1"/>
      <c r="AT97" s="1"/>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row>
    <row r="98" spans="1:112" x14ac:dyDescent="0.25">
      <c r="A98" s="3"/>
      <c r="B98" s="4"/>
      <c r="C98" s="4"/>
      <c r="D98" s="4"/>
      <c r="E98" s="4"/>
      <c r="F98" s="4"/>
      <c r="G98" s="4"/>
      <c r="H98" s="4"/>
      <c r="I98" s="4"/>
      <c r="J98" s="4"/>
      <c r="K98" s="4"/>
      <c r="L98" s="4"/>
      <c r="M98" s="4"/>
      <c r="N98" s="4"/>
      <c r="O98" s="4"/>
      <c r="P98" s="4"/>
      <c r="Q98" s="4"/>
      <c r="R98" s="4"/>
      <c r="S98" s="4"/>
      <c r="T98" s="4"/>
      <c r="U98" s="4"/>
      <c r="V98" s="4"/>
      <c r="W98" s="4"/>
      <c r="X98" s="4"/>
      <c r="Y98" s="7"/>
      <c r="Z98" s="7"/>
      <c r="AA98" s="4"/>
      <c r="AB98" s="4"/>
      <c r="AC98" s="4"/>
      <c r="AD98" s="4"/>
      <c r="AE98" s="4"/>
      <c r="AF98" s="4"/>
      <c r="AG98" s="4"/>
      <c r="AH98" s="4"/>
      <c r="AI98" s="4"/>
      <c r="AJ98" s="4"/>
      <c r="AK98" s="1"/>
      <c r="AL98" s="1"/>
      <c r="AM98" s="1"/>
      <c r="AN98" s="1"/>
      <c r="AO98" s="1"/>
      <c r="AP98" s="1"/>
      <c r="AQ98" s="1"/>
      <c r="AR98" s="1"/>
      <c r="AS98" s="1"/>
      <c r="AT98" s="1"/>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row>
    <row r="99" spans="1:112" x14ac:dyDescent="0.25">
      <c r="A99" s="3"/>
      <c r="B99" s="4"/>
      <c r="C99" s="4"/>
      <c r="D99" s="4"/>
      <c r="E99" s="4"/>
      <c r="F99" s="4"/>
      <c r="G99" s="4"/>
      <c r="H99" s="4"/>
      <c r="I99" s="4"/>
      <c r="J99" s="4"/>
      <c r="K99" s="4"/>
      <c r="L99" s="4"/>
      <c r="M99" s="4"/>
      <c r="N99" s="4"/>
      <c r="O99" s="4"/>
      <c r="P99" s="4"/>
      <c r="Q99" s="4"/>
      <c r="R99" s="4"/>
      <c r="S99" s="4"/>
      <c r="T99" s="4"/>
      <c r="U99" s="4"/>
      <c r="V99" s="4"/>
      <c r="W99" s="4"/>
      <c r="X99" s="4"/>
      <c r="Y99" s="7"/>
      <c r="Z99" s="7"/>
      <c r="AA99" s="4"/>
      <c r="AB99" s="4"/>
      <c r="AC99" s="4"/>
      <c r="AD99" s="4"/>
      <c r="AE99" s="4"/>
      <c r="AF99" s="4"/>
      <c r="AG99" s="4"/>
      <c r="AH99" s="4"/>
      <c r="AI99" s="4"/>
      <c r="AJ99" s="4"/>
      <c r="AK99" s="1"/>
      <c r="AL99" s="1"/>
      <c r="AM99" s="1"/>
      <c r="AN99" s="1"/>
      <c r="AO99" s="1"/>
      <c r="AP99" s="1"/>
      <c r="AQ99" s="1"/>
      <c r="AR99" s="1"/>
      <c r="AS99" s="1"/>
      <c r="AT99" s="1"/>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row>
    <row r="100" spans="1:112" x14ac:dyDescent="0.25">
      <c r="A100" s="3"/>
      <c r="B100" s="4"/>
      <c r="C100" s="4"/>
      <c r="D100" s="4"/>
      <c r="E100" s="4"/>
      <c r="F100" s="4"/>
      <c r="G100" s="4"/>
      <c r="H100" s="4"/>
      <c r="I100" s="4"/>
      <c r="J100" s="4"/>
      <c r="K100" s="4"/>
      <c r="L100" s="4"/>
      <c r="M100" s="4"/>
      <c r="N100" s="4"/>
      <c r="O100" s="4"/>
      <c r="P100" s="4"/>
      <c r="Q100" s="4"/>
      <c r="R100" s="4"/>
      <c r="S100" s="4"/>
      <c r="T100" s="4"/>
      <c r="U100" s="4"/>
      <c r="V100" s="4"/>
      <c r="W100" s="4"/>
      <c r="X100" s="4"/>
      <c r="Y100" s="7"/>
      <c r="Z100" s="7"/>
      <c r="AA100" s="4"/>
      <c r="AB100" s="4"/>
      <c r="AC100" s="4"/>
      <c r="AD100" s="4"/>
      <c r="AE100" s="4"/>
      <c r="AF100" s="4"/>
      <c r="AG100" s="4"/>
      <c r="AH100" s="4"/>
      <c r="AI100" s="4"/>
      <c r="AJ100" s="4"/>
      <c r="AK100" s="1"/>
      <c r="AL100" s="1"/>
      <c r="AM100" s="1"/>
      <c r="AN100" s="1"/>
      <c r="AO100" s="1"/>
      <c r="AP100" s="1"/>
      <c r="AQ100" s="1"/>
      <c r="AR100" s="1"/>
      <c r="AS100" s="1"/>
      <c r="AT100" s="1"/>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row>
    <row r="101" spans="1:112" x14ac:dyDescent="0.25">
      <c r="A101" s="3"/>
      <c r="B101" s="4"/>
      <c r="C101" s="4"/>
      <c r="D101" s="4"/>
      <c r="E101" s="4"/>
      <c r="F101" s="4"/>
      <c r="G101" s="4"/>
      <c r="H101" s="4"/>
      <c r="I101" s="4"/>
      <c r="J101" s="4"/>
      <c r="K101" s="4"/>
      <c r="L101" s="4"/>
      <c r="M101" s="4"/>
      <c r="N101" s="4"/>
      <c r="O101" s="4"/>
      <c r="P101" s="4"/>
      <c r="Q101" s="4"/>
      <c r="R101" s="4"/>
      <c r="S101" s="4"/>
      <c r="T101" s="4"/>
      <c r="U101" s="4"/>
      <c r="V101" s="4"/>
      <c r="W101" s="4"/>
      <c r="X101" s="4"/>
      <c r="Y101" s="7"/>
      <c r="Z101" s="7"/>
      <c r="AA101" s="4"/>
      <c r="AB101" s="4"/>
      <c r="AC101" s="4"/>
      <c r="AD101" s="4"/>
      <c r="AE101" s="4"/>
      <c r="AF101" s="4"/>
      <c r="AG101" s="4"/>
      <c r="AH101" s="4"/>
      <c r="AI101" s="4"/>
      <c r="AJ101" s="4"/>
      <c r="AK101" s="1"/>
      <c r="AL101" s="1"/>
      <c r="AM101" s="1"/>
      <c r="AN101" s="1"/>
      <c r="AO101" s="1"/>
      <c r="AP101" s="1"/>
      <c r="AQ101" s="1"/>
      <c r="AR101" s="1"/>
      <c r="AS101" s="1"/>
      <c r="AT101" s="1"/>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row>
    <row r="102" spans="1:112" x14ac:dyDescent="0.25">
      <c r="A102" s="3"/>
      <c r="B102" s="4"/>
      <c r="C102" s="4"/>
      <c r="D102" s="4"/>
      <c r="E102" s="4"/>
      <c r="F102" s="4"/>
      <c r="G102" s="4"/>
      <c r="H102" s="4"/>
      <c r="I102" s="4"/>
      <c r="J102" s="4"/>
      <c r="K102" s="4"/>
      <c r="L102" s="4"/>
      <c r="M102" s="4"/>
      <c r="N102" s="4"/>
      <c r="O102" s="4"/>
      <c r="P102" s="4"/>
      <c r="Q102" s="4"/>
      <c r="R102" s="4"/>
      <c r="S102" s="4"/>
      <c r="T102" s="4"/>
      <c r="U102" s="4"/>
      <c r="V102" s="4"/>
      <c r="W102" s="4"/>
      <c r="X102" s="4"/>
      <c r="Y102" s="7"/>
      <c r="Z102" s="7"/>
      <c r="AA102" s="4"/>
      <c r="AB102" s="4"/>
      <c r="AC102" s="4"/>
      <c r="AD102" s="4"/>
      <c r="AE102" s="4"/>
      <c r="AF102" s="4"/>
      <c r="AG102" s="4"/>
      <c r="AH102" s="4"/>
      <c r="AI102" s="4"/>
      <c r="AJ102" s="4"/>
      <c r="AK102" s="1"/>
      <c r="AL102" s="1"/>
      <c r="AM102" s="1"/>
      <c r="AN102" s="1"/>
      <c r="AO102" s="1"/>
      <c r="AP102" s="1"/>
      <c r="AQ102" s="1"/>
      <c r="AR102" s="1"/>
      <c r="AS102" s="1"/>
      <c r="AT102" s="1"/>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row>
    <row r="103" spans="1:112" x14ac:dyDescent="0.25">
      <c r="A103" s="3"/>
      <c r="B103" s="4"/>
      <c r="C103" s="4"/>
      <c r="D103" s="4"/>
      <c r="E103" s="4"/>
      <c r="F103" s="4"/>
      <c r="G103" s="4"/>
      <c r="H103" s="4"/>
      <c r="I103" s="4"/>
      <c r="J103" s="4"/>
      <c r="K103" s="4"/>
      <c r="L103" s="4"/>
      <c r="M103" s="4"/>
      <c r="N103" s="4"/>
      <c r="O103" s="4"/>
      <c r="P103" s="4"/>
      <c r="Q103" s="4"/>
      <c r="R103" s="4"/>
      <c r="S103" s="4"/>
      <c r="T103" s="4"/>
      <c r="U103" s="4"/>
      <c r="V103" s="4"/>
      <c r="W103" s="4"/>
      <c r="X103" s="4"/>
      <c r="Y103" s="7"/>
      <c r="Z103" s="7"/>
      <c r="AA103" s="4"/>
      <c r="AB103" s="4"/>
      <c r="AC103" s="4"/>
      <c r="AD103" s="4"/>
      <c r="AE103" s="4"/>
      <c r="AF103" s="4"/>
      <c r="AG103" s="4"/>
      <c r="AH103" s="4"/>
      <c r="AI103" s="4"/>
      <c r="AJ103" s="4"/>
      <c r="AK103" s="1"/>
      <c r="AL103" s="1"/>
      <c r="AM103" s="1"/>
      <c r="AN103" s="1"/>
      <c r="AO103" s="1"/>
      <c r="AP103" s="1"/>
      <c r="AQ103" s="1"/>
      <c r="AR103" s="1"/>
      <c r="AS103" s="1"/>
      <c r="AT103" s="1"/>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5"/>
      <c r="DG103" s="5"/>
      <c r="DH103" s="5"/>
    </row>
    <row r="104" spans="1:112" x14ac:dyDescent="0.25">
      <c r="A104" s="5"/>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4"/>
      <c r="AB104" s="4"/>
      <c r="AC104" s="4"/>
      <c r="AD104" s="4"/>
      <c r="AE104" s="4"/>
      <c r="AF104" s="4"/>
      <c r="AG104" s="4"/>
      <c r="AH104" s="4"/>
      <c r="AI104" s="4"/>
      <c r="AJ104" s="4"/>
      <c r="AK104" s="1"/>
      <c r="AL104" s="1"/>
      <c r="AM104" s="1"/>
      <c r="AN104" s="1"/>
      <c r="AO104" s="1"/>
      <c r="AP104" s="1"/>
      <c r="AQ104" s="1"/>
      <c r="AR104" s="1"/>
      <c r="AS104" s="1"/>
      <c r="AT104" s="1"/>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row>
    <row r="105" spans="1:112" x14ac:dyDescent="0.25">
      <c r="A105" s="5"/>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4"/>
      <c r="AB105" s="4"/>
      <c r="AC105" s="4"/>
      <c r="AD105" s="4"/>
      <c r="AE105" s="4"/>
      <c r="AF105" s="4"/>
      <c r="AG105" s="4"/>
      <c r="AH105" s="4"/>
      <c r="AI105" s="4"/>
      <c r="AJ105" s="4"/>
      <c r="AK105" s="1"/>
      <c r="AL105" s="1"/>
      <c r="AM105" s="1"/>
      <c r="AN105" s="1"/>
      <c r="AO105" s="1"/>
      <c r="AP105" s="1"/>
      <c r="AQ105" s="1"/>
      <c r="AR105" s="1"/>
      <c r="AS105" s="1"/>
      <c r="AT105" s="1"/>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5"/>
      <c r="DG105" s="5"/>
      <c r="DH105" s="5"/>
    </row>
    <row r="106" spans="1:112" x14ac:dyDescent="0.25">
      <c r="A106" s="5"/>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4"/>
      <c r="AB106" s="4"/>
      <c r="AC106" s="4"/>
      <c r="AD106" s="4"/>
      <c r="AE106" s="4"/>
      <c r="AF106" s="4"/>
      <c r="AG106" s="4"/>
      <c r="AH106" s="4"/>
      <c r="AI106" s="4"/>
      <c r="AJ106" s="4"/>
      <c r="AK106" s="1"/>
      <c r="AL106" s="1"/>
      <c r="AM106" s="1"/>
      <c r="AN106" s="1"/>
      <c r="AO106" s="1"/>
      <c r="AP106" s="1"/>
      <c r="AQ106" s="1"/>
      <c r="AR106" s="1"/>
      <c r="AS106" s="1"/>
      <c r="AT106" s="1"/>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c r="CW106" s="5"/>
      <c r="CX106" s="5"/>
      <c r="CY106" s="5"/>
      <c r="CZ106" s="5"/>
      <c r="DA106" s="5"/>
      <c r="DB106" s="5"/>
      <c r="DC106" s="5"/>
      <c r="DD106" s="5"/>
      <c r="DE106" s="5"/>
      <c r="DF106" s="5"/>
      <c r="DG106" s="5"/>
      <c r="DH106" s="5"/>
    </row>
    <row r="107" spans="1:112" x14ac:dyDescent="0.25">
      <c r="A107" s="5"/>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4"/>
      <c r="AB107" s="4"/>
      <c r="AC107" s="4"/>
      <c r="AD107" s="4"/>
      <c r="AE107" s="4"/>
      <c r="AF107" s="4"/>
      <c r="AG107" s="4"/>
      <c r="AH107" s="4"/>
      <c r="AI107" s="4"/>
      <c r="AJ107" s="4"/>
      <c r="AK107" s="1"/>
      <c r="AL107" s="1"/>
      <c r="AM107" s="1"/>
      <c r="AN107" s="1"/>
      <c r="AO107" s="1"/>
      <c r="AP107" s="1"/>
      <c r="AQ107" s="1"/>
      <c r="AR107" s="1"/>
      <c r="AS107" s="1"/>
      <c r="AT107" s="1"/>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c r="CW107" s="5"/>
      <c r="CX107" s="5"/>
      <c r="CY107" s="5"/>
      <c r="CZ107" s="5"/>
      <c r="DA107" s="5"/>
      <c r="DB107" s="5"/>
      <c r="DC107" s="5"/>
      <c r="DD107" s="5"/>
      <c r="DE107" s="5"/>
      <c r="DF107" s="5"/>
      <c r="DG107" s="5"/>
      <c r="DH107" s="5"/>
    </row>
    <row r="108" spans="1:112" x14ac:dyDescent="0.25">
      <c r="A108" s="5"/>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4"/>
      <c r="AB108" s="4"/>
      <c r="AC108" s="4"/>
      <c r="AD108" s="4"/>
      <c r="AE108" s="4"/>
      <c r="AF108" s="4"/>
      <c r="AG108" s="4"/>
      <c r="AH108" s="4"/>
      <c r="AI108" s="4"/>
      <c r="AJ108" s="4"/>
      <c r="AK108" s="1"/>
      <c r="AL108" s="1"/>
      <c r="AM108" s="1"/>
      <c r="AN108" s="1"/>
      <c r="AO108" s="1"/>
      <c r="AP108" s="1"/>
      <c r="AQ108" s="1"/>
      <c r="AR108" s="1"/>
      <c r="AS108" s="1"/>
      <c r="AT108" s="1"/>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c r="CW108" s="5"/>
      <c r="CX108" s="5"/>
      <c r="CY108" s="5"/>
      <c r="CZ108" s="5"/>
      <c r="DA108" s="5"/>
      <c r="DB108" s="5"/>
      <c r="DC108" s="5"/>
      <c r="DD108" s="5"/>
      <c r="DE108" s="5"/>
      <c r="DF108" s="5"/>
      <c r="DG108" s="5"/>
      <c r="DH108" s="5"/>
    </row>
    <row r="109" spans="1:112" x14ac:dyDescent="0.25">
      <c r="A109" s="5"/>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4"/>
      <c r="AB109" s="4"/>
      <c r="AC109" s="4"/>
      <c r="AD109" s="4"/>
      <c r="AE109" s="4"/>
      <c r="AF109" s="4"/>
      <c r="AG109" s="4"/>
      <c r="AH109" s="4"/>
      <c r="AI109" s="4"/>
      <c r="AJ109" s="4"/>
      <c r="AK109" s="1"/>
      <c r="AL109" s="1"/>
      <c r="AM109" s="1"/>
      <c r="AN109" s="1"/>
      <c r="AO109" s="1"/>
      <c r="AP109" s="1"/>
      <c r="AQ109" s="1"/>
      <c r="AR109" s="1"/>
      <c r="AS109" s="1"/>
      <c r="AT109" s="1"/>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c r="CW109" s="5"/>
      <c r="CX109" s="5"/>
      <c r="CY109" s="5"/>
      <c r="CZ109" s="5"/>
      <c r="DA109" s="5"/>
      <c r="DB109" s="5"/>
      <c r="DC109" s="5"/>
      <c r="DD109" s="5"/>
      <c r="DE109" s="5"/>
      <c r="DF109" s="5"/>
      <c r="DG109" s="5"/>
      <c r="DH109" s="5"/>
    </row>
    <row r="110" spans="1:112" x14ac:dyDescent="0.25">
      <c r="A110" s="5"/>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4"/>
      <c r="AB110" s="4"/>
      <c r="AC110" s="4"/>
      <c r="AD110" s="4"/>
      <c r="AE110" s="4"/>
      <c r="AF110" s="4"/>
      <c r="AG110" s="4"/>
      <c r="AH110" s="4"/>
      <c r="AI110" s="4"/>
      <c r="AJ110" s="4"/>
      <c r="AK110" s="1"/>
      <c r="AL110" s="1"/>
      <c r="AM110" s="1"/>
      <c r="AN110" s="1"/>
      <c r="AO110" s="1"/>
      <c r="AP110" s="1"/>
      <c r="AQ110" s="1"/>
      <c r="AR110" s="1"/>
      <c r="AS110" s="1"/>
      <c r="AT110" s="1"/>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c r="CW110" s="5"/>
      <c r="CX110" s="5"/>
      <c r="CY110" s="5"/>
      <c r="CZ110" s="5"/>
      <c r="DA110" s="5"/>
      <c r="DB110" s="5"/>
      <c r="DC110" s="5"/>
      <c r="DD110" s="5"/>
      <c r="DE110" s="5"/>
      <c r="DF110" s="5"/>
      <c r="DG110" s="5"/>
      <c r="DH110" s="5"/>
    </row>
    <row r="111" spans="1:112" x14ac:dyDescent="0.25">
      <c r="A111" s="5"/>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4"/>
      <c r="AB111" s="4"/>
      <c r="AC111" s="4"/>
      <c r="AD111" s="4"/>
      <c r="AE111" s="4"/>
      <c r="AF111" s="4"/>
      <c r="AG111" s="4"/>
      <c r="AH111" s="4"/>
      <c r="AI111" s="4"/>
      <c r="AJ111" s="4"/>
      <c r="AK111" s="1"/>
      <c r="AL111" s="1"/>
      <c r="AM111" s="1"/>
      <c r="AN111" s="1"/>
      <c r="AO111" s="1"/>
      <c r="AP111" s="1"/>
      <c r="AQ111" s="1"/>
      <c r="AR111" s="1"/>
      <c r="AS111" s="1"/>
      <c r="AT111" s="1"/>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c r="CW111" s="5"/>
      <c r="CX111" s="5"/>
      <c r="CY111" s="5"/>
      <c r="CZ111" s="5"/>
      <c r="DA111" s="5"/>
      <c r="DB111" s="5"/>
      <c r="DC111" s="5"/>
      <c r="DD111" s="5"/>
      <c r="DE111" s="5"/>
      <c r="DF111" s="5"/>
      <c r="DG111" s="5"/>
      <c r="DH111" s="5"/>
    </row>
    <row r="112" spans="1:112" x14ac:dyDescent="0.25">
      <c r="A112" s="5"/>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4"/>
      <c r="AB112" s="4"/>
      <c r="AC112" s="4"/>
      <c r="AD112" s="4"/>
      <c r="AE112" s="4"/>
      <c r="AF112" s="4"/>
      <c r="AG112" s="4"/>
      <c r="AH112" s="4"/>
      <c r="AI112" s="4"/>
      <c r="AJ112" s="4"/>
      <c r="AK112" s="1"/>
      <c r="AL112" s="1"/>
      <c r="AM112" s="1"/>
      <c r="AN112" s="1"/>
      <c r="AO112" s="1"/>
      <c r="AP112" s="1"/>
      <c r="AQ112" s="1"/>
      <c r="AR112" s="1"/>
      <c r="AS112" s="1"/>
      <c r="AT112" s="1"/>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c r="CW112" s="5"/>
      <c r="CX112" s="5"/>
      <c r="CY112" s="5"/>
      <c r="CZ112" s="5"/>
      <c r="DA112" s="5"/>
      <c r="DB112" s="5"/>
      <c r="DC112" s="5"/>
      <c r="DD112" s="5"/>
      <c r="DE112" s="5"/>
      <c r="DF112" s="5"/>
      <c r="DG112" s="5"/>
      <c r="DH112" s="5"/>
    </row>
    <row r="113" spans="1:112" x14ac:dyDescent="0.25">
      <c r="A113" s="5"/>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4"/>
      <c r="AB113" s="4"/>
      <c r="AC113" s="4"/>
      <c r="AD113" s="4"/>
      <c r="AE113" s="4"/>
      <c r="AF113" s="4"/>
      <c r="AG113" s="4"/>
      <c r="AH113" s="4"/>
      <c r="AI113" s="4"/>
      <c r="AJ113" s="4"/>
      <c r="AK113" s="1"/>
      <c r="AL113" s="1"/>
      <c r="AM113" s="1"/>
      <c r="AN113" s="1"/>
      <c r="AO113" s="1"/>
      <c r="AP113" s="1"/>
      <c r="AQ113" s="1"/>
      <c r="AR113" s="1"/>
      <c r="AS113" s="1"/>
      <c r="AT113" s="1"/>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c r="CW113" s="5"/>
      <c r="CX113" s="5"/>
      <c r="CY113" s="5"/>
      <c r="CZ113" s="5"/>
      <c r="DA113" s="5"/>
      <c r="DB113" s="5"/>
      <c r="DC113" s="5"/>
      <c r="DD113" s="5"/>
      <c r="DE113" s="5"/>
      <c r="DF113" s="5"/>
      <c r="DG113" s="5"/>
      <c r="DH113" s="5"/>
    </row>
    <row r="114" spans="1:112" x14ac:dyDescent="0.25">
      <c r="A114" s="5"/>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4"/>
      <c r="AB114" s="4"/>
      <c r="AC114" s="4"/>
      <c r="AD114" s="4"/>
      <c r="AE114" s="4"/>
      <c r="AF114" s="4"/>
      <c r="AG114" s="4"/>
      <c r="AH114" s="4"/>
      <c r="AI114" s="4"/>
      <c r="AJ114" s="4"/>
      <c r="AK114" s="1"/>
      <c r="AL114" s="1"/>
      <c r="AM114" s="1"/>
      <c r="AN114" s="1"/>
      <c r="AO114" s="1"/>
      <c r="AP114" s="1"/>
      <c r="AQ114" s="1"/>
      <c r="AR114" s="1"/>
      <c r="AS114" s="1"/>
      <c r="AT114" s="1"/>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c r="CW114" s="5"/>
      <c r="CX114" s="5"/>
      <c r="CY114" s="5"/>
      <c r="CZ114" s="5"/>
      <c r="DA114" s="5"/>
      <c r="DB114" s="5"/>
      <c r="DC114" s="5"/>
      <c r="DD114" s="5"/>
      <c r="DE114" s="5"/>
      <c r="DF114" s="5"/>
      <c r="DG114" s="5"/>
      <c r="DH114" s="5"/>
    </row>
    <row r="115" spans="1:112" x14ac:dyDescent="0.25">
      <c r="A115" s="5"/>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4"/>
      <c r="AB115" s="4"/>
      <c r="AC115" s="4"/>
      <c r="AD115" s="4"/>
      <c r="AE115" s="4"/>
      <c r="AF115" s="4"/>
      <c r="AG115" s="4"/>
      <c r="AH115" s="4"/>
      <c r="AI115" s="4"/>
      <c r="AJ115" s="4"/>
      <c r="AK115" s="1"/>
      <c r="AL115" s="1"/>
      <c r="AM115" s="1"/>
      <c r="AN115" s="1"/>
      <c r="AO115" s="1"/>
      <c r="AP115" s="1"/>
      <c r="AQ115" s="1"/>
      <c r="AR115" s="1"/>
      <c r="AS115" s="1"/>
      <c r="AT115" s="1"/>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c r="CW115" s="5"/>
      <c r="CX115" s="5"/>
      <c r="CY115" s="5"/>
      <c r="CZ115" s="5"/>
      <c r="DA115" s="5"/>
      <c r="DB115" s="5"/>
      <c r="DC115" s="5"/>
      <c r="DD115" s="5"/>
      <c r="DE115" s="5"/>
      <c r="DF115" s="5"/>
      <c r="DG115" s="5"/>
      <c r="DH115" s="5"/>
    </row>
    <row r="116" spans="1:112" x14ac:dyDescent="0.25">
      <c r="A116" s="5"/>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4"/>
      <c r="AB116" s="4"/>
      <c r="AC116" s="4"/>
      <c r="AD116" s="4"/>
      <c r="AE116" s="4"/>
      <c r="AF116" s="4"/>
      <c r="AG116" s="4"/>
      <c r="AH116" s="4"/>
      <c r="AI116" s="4"/>
      <c r="AJ116" s="4"/>
      <c r="AK116" s="1"/>
      <c r="AL116" s="1"/>
      <c r="AM116" s="1"/>
      <c r="AN116" s="1"/>
      <c r="AO116" s="1"/>
      <c r="AP116" s="1"/>
      <c r="AQ116" s="1"/>
      <c r="AR116" s="1"/>
      <c r="AS116" s="1"/>
      <c r="AT116" s="1"/>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c r="DF116" s="5"/>
      <c r="DG116" s="5"/>
      <c r="DH116" s="5"/>
    </row>
    <row r="117" spans="1:112" x14ac:dyDescent="0.25">
      <c r="A117" s="5"/>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4"/>
      <c r="AB117" s="4"/>
      <c r="AC117" s="4"/>
      <c r="AD117" s="4"/>
      <c r="AE117" s="4"/>
      <c r="AF117" s="4"/>
      <c r="AG117" s="4"/>
      <c r="AH117" s="4"/>
      <c r="AI117" s="4"/>
      <c r="AJ117" s="4"/>
      <c r="AK117" s="1"/>
      <c r="AL117" s="1"/>
      <c r="AM117" s="1"/>
      <c r="AN117" s="1"/>
      <c r="AO117" s="1"/>
      <c r="AP117" s="1"/>
      <c r="AQ117" s="1"/>
      <c r="AR117" s="1"/>
      <c r="AS117" s="1"/>
      <c r="AT117" s="1"/>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c r="CW117" s="5"/>
      <c r="CX117" s="5"/>
      <c r="CY117" s="5"/>
      <c r="CZ117" s="5"/>
      <c r="DA117" s="5"/>
      <c r="DB117" s="5"/>
      <c r="DC117" s="5"/>
      <c r="DD117" s="5"/>
      <c r="DE117" s="5"/>
      <c r="DF117" s="5"/>
      <c r="DG117" s="5"/>
      <c r="DH117" s="5"/>
    </row>
    <row r="118" spans="1:112" x14ac:dyDescent="0.25">
      <c r="A118" s="5"/>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4"/>
      <c r="AB118" s="4"/>
      <c r="AC118" s="4"/>
      <c r="AD118" s="4"/>
      <c r="AE118" s="4"/>
      <c r="AF118" s="4"/>
      <c r="AG118" s="4"/>
      <c r="AH118" s="4"/>
      <c r="AI118" s="4"/>
      <c r="AJ118" s="4"/>
      <c r="AK118" s="1"/>
      <c r="AL118" s="1"/>
      <c r="AM118" s="1"/>
      <c r="AN118" s="1"/>
      <c r="AO118" s="1"/>
      <c r="AP118" s="1"/>
      <c r="AQ118" s="1"/>
      <c r="AR118" s="1"/>
      <c r="AS118" s="1"/>
      <c r="AT118" s="1"/>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c r="CW118" s="5"/>
      <c r="CX118" s="5"/>
      <c r="CY118" s="5"/>
      <c r="CZ118" s="5"/>
      <c r="DA118" s="5"/>
      <c r="DB118" s="5"/>
      <c r="DC118" s="5"/>
      <c r="DD118" s="5"/>
      <c r="DE118" s="5"/>
      <c r="DF118" s="5"/>
      <c r="DG118" s="5"/>
      <c r="DH118" s="5"/>
    </row>
    <row r="119" spans="1:112" x14ac:dyDescent="0.25">
      <c r="A119" s="5"/>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4"/>
      <c r="AB119" s="4"/>
      <c r="AC119" s="4"/>
      <c r="AD119" s="4"/>
      <c r="AE119" s="4"/>
      <c r="AF119" s="4"/>
      <c r="AG119" s="4"/>
      <c r="AH119" s="4"/>
      <c r="AI119" s="4"/>
      <c r="AJ119" s="4"/>
      <c r="AK119" s="1"/>
      <c r="AL119" s="1"/>
      <c r="AM119" s="1"/>
      <c r="AN119" s="1"/>
      <c r="AO119" s="1"/>
      <c r="AP119" s="1"/>
      <c r="AQ119" s="1"/>
      <c r="AR119" s="1"/>
      <c r="AS119" s="1"/>
      <c r="AT119" s="1"/>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c r="CW119" s="5"/>
      <c r="CX119" s="5"/>
      <c r="CY119" s="5"/>
      <c r="CZ119" s="5"/>
      <c r="DA119" s="5"/>
      <c r="DB119" s="5"/>
      <c r="DC119" s="5"/>
      <c r="DD119" s="5"/>
      <c r="DE119" s="5"/>
      <c r="DF119" s="5"/>
      <c r="DG119" s="5"/>
      <c r="DH119" s="5"/>
    </row>
    <row r="120" spans="1:112"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8"/>
      <c r="AB120" s="8"/>
      <c r="AC120" s="8"/>
      <c r="AD120" s="8"/>
      <c r="AE120" s="8"/>
      <c r="AF120" s="8"/>
      <c r="AG120" s="8"/>
      <c r="AH120" s="8"/>
      <c r="AI120" s="8"/>
      <c r="AJ120" s="8"/>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c r="CW120" s="5"/>
      <c r="CX120" s="5"/>
      <c r="CY120" s="5"/>
      <c r="CZ120" s="5"/>
      <c r="DA120" s="5"/>
      <c r="DB120" s="5"/>
      <c r="DC120" s="5"/>
      <c r="DD120" s="5"/>
      <c r="DE120" s="5"/>
      <c r="DF120" s="5"/>
      <c r="DG120" s="5"/>
      <c r="DH120" s="5"/>
    </row>
    <row r="121" spans="1:112"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8"/>
      <c r="AB121" s="8"/>
      <c r="AC121" s="8"/>
      <c r="AD121" s="8"/>
      <c r="AE121" s="8"/>
      <c r="AF121" s="8"/>
      <c r="AG121" s="8"/>
      <c r="AH121" s="8"/>
      <c r="AI121" s="8"/>
      <c r="AJ121" s="8"/>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c r="CW121" s="5"/>
      <c r="CX121" s="5"/>
      <c r="CY121" s="5"/>
      <c r="CZ121" s="5"/>
      <c r="DA121" s="5"/>
      <c r="DB121" s="5"/>
      <c r="DC121" s="5"/>
      <c r="DD121" s="5"/>
      <c r="DE121" s="5"/>
      <c r="DF121" s="5"/>
      <c r="DG121" s="5"/>
      <c r="DH121" s="5"/>
    </row>
    <row r="122" spans="1:112"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8"/>
      <c r="AB122" s="8"/>
      <c r="AC122" s="8"/>
      <c r="AD122" s="8"/>
      <c r="AE122" s="8"/>
      <c r="AF122" s="8"/>
      <c r="AG122" s="8"/>
      <c r="AH122" s="8"/>
      <c r="AI122" s="8"/>
      <c r="AJ122" s="8"/>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c r="CW122" s="5"/>
      <c r="CX122" s="5"/>
      <c r="CY122" s="5"/>
      <c r="CZ122" s="5"/>
      <c r="DA122" s="5"/>
      <c r="DB122" s="5"/>
      <c r="DC122" s="5"/>
      <c r="DD122" s="5"/>
      <c r="DE122" s="5"/>
      <c r="DF122" s="5"/>
      <c r="DG122" s="5"/>
      <c r="DH122" s="5"/>
    </row>
    <row r="123" spans="1:112"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8"/>
      <c r="AB123" s="8"/>
      <c r="AC123" s="8"/>
      <c r="AD123" s="8"/>
      <c r="AE123" s="8"/>
      <c r="AF123" s="8"/>
      <c r="AG123" s="8"/>
      <c r="AH123" s="8"/>
      <c r="AI123" s="8"/>
      <c r="AJ123" s="8"/>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row>
    <row r="124" spans="1:112"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8"/>
      <c r="AB124" s="8"/>
      <c r="AC124" s="8"/>
      <c r="AD124" s="8"/>
      <c r="AE124" s="8"/>
      <c r="AF124" s="8"/>
      <c r="AG124" s="8"/>
      <c r="AH124" s="8"/>
      <c r="AI124" s="8"/>
      <c r="AJ124" s="8"/>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c r="CW124" s="5"/>
      <c r="CX124" s="5"/>
      <c r="CY124" s="5"/>
      <c r="CZ124" s="5"/>
      <c r="DA124" s="5"/>
      <c r="DB124" s="5"/>
      <c r="DC124" s="5"/>
      <c r="DD124" s="5"/>
      <c r="DE124" s="5"/>
      <c r="DF124" s="5"/>
      <c r="DG124" s="5"/>
      <c r="DH124" s="5"/>
    </row>
    <row r="125" spans="1:112"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8"/>
      <c r="AB125" s="8"/>
      <c r="AC125" s="8"/>
      <c r="AD125" s="8"/>
      <c r="AE125" s="8"/>
      <c r="AF125" s="8"/>
      <c r="AG125" s="8"/>
      <c r="AH125" s="8"/>
      <c r="AI125" s="8"/>
      <c r="AJ125" s="8"/>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c r="CW125" s="5"/>
      <c r="CX125" s="5"/>
      <c r="CY125" s="5"/>
      <c r="CZ125" s="5"/>
      <c r="DA125" s="5"/>
      <c r="DB125" s="5"/>
      <c r="DC125" s="5"/>
      <c r="DD125" s="5"/>
      <c r="DE125" s="5"/>
      <c r="DF125" s="5"/>
      <c r="DG125" s="5"/>
      <c r="DH125" s="5"/>
    </row>
    <row r="126" spans="1:112"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c r="CW126" s="5"/>
      <c r="CX126" s="5"/>
      <c r="CY126" s="5"/>
      <c r="CZ126" s="5"/>
      <c r="DA126" s="5"/>
      <c r="DB126" s="5"/>
      <c r="DC126" s="5"/>
      <c r="DD126" s="5"/>
      <c r="DE126" s="5"/>
      <c r="DF126" s="5"/>
      <c r="DG126" s="5"/>
      <c r="DH126" s="5"/>
    </row>
    <row r="127" spans="1:112"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c r="CW127" s="5"/>
      <c r="CX127" s="5"/>
      <c r="CY127" s="5"/>
      <c r="CZ127" s="5"/>
      <c r="DA127" s="5"/>
      <c r="DB127" s="5"/>
      <c r="DC127" s="5"/>
      <c r="DD127" s="5"/>
      <c r="DE127" s="5"/>
      <c r="DF127" s="5"/>
      <c r="DG127" s="5"/>
      <c r="DH127" s="5"/>
    </row>
    <row r="128" spans="1:112"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c r="CW128" s="5"/>
      <c r="CX128" s="5"/>
      <c r="CY128" s="5"/>
      <c r="CZ128" s="5"/>
      <c r="DA128" s="5"/>
      <c r="DB128" s="5"/>
      <c r="DC128" s="5"/>
      <c r="DD128" s="5"/>
      <c r="DE128" s="5"/>
      <c r="DF128" s="5"/>
      <c r="DG128" s="5"/>
      <c r="DH128" s="5"/>
    </row>
    <row r="129" spans="1:112"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c r="CW129" s="5"/>
      <c r="CX129" s="5"/>
      <c r="CY129" s="5"/>
      <c r="CZ129" s="5"/>
      <c r="DA129" s="5"/>
      <c r="DB129" s="5"/>
      <c r="DC129" s="5"/>
      <c r="DD129" s="5"/>
      <c r="DE129" s="5"/>
      <c r="DF129" s="5"/>
      <c r="DG129" s="5"/>
      <c r="DH129" s="5"/>
    </row>
    <row r="130" spans="1:112"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c r="CW130" s="5"/>
      <c r="CX130" s="5"/>
      <c r="CY130" s="5"/>
      <c r="CZ130" s="5"/>
      <c r="DA130" s="5"/>
      <c r="DB130" s="5"/>
      <c r="DC130" s="5"/>
      <c r="DD130" s="5"/>
      <c r="DE130" s="5"/>
      <c r="DF130" s="5"/>
      <c r="DG130" s="5"/>
      <c r="DH130" s="5"/>
    </row>
    <row r="131" spans="1:112"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c r="CW131" s="5"/>
      <c r="CX131" s="5"/>
      <c r="CY131" s="5"/>
      <c r="CZ131" s="5"/>
      <c r="DA131" s="5"/>
      <c r="DB131" s="5"/>
      <c r="DC131" s="5"/>
      <c r="DD131" s="5"/>
      <c r="DE131" s="5"/>
      <c r="DF131" s="5"/>
      <c r="DG131" s="5"/>
      <c r="DH131" s="5"/>
    </row>
  </sheetData>
  <mergeCells count="9">
    <mergeCell ref="A1:AG1"/>
    <mergeCell ref="L16:N16"/>
    <mergeCell ref="W2:Y3"/>
    <mergeCell ref="H3:K3"/>
    <mergeCell ref="L3:Q3"/>
    <mergeCell ref="H2:Q2"/>
    <mergeCell ref="B2:G3"/>
    <mergeCell ref="Z2:AG3"/>
    <mergeCell ref="R2:V3"/>
  </mergeCells>
  <phoneticPr fontId="11" type="noConversion"/>
  <pageMargins left="0.7" right="0.7" top="0.75" bottom="0.75" header="0.3" footer="0.3"/>
  <pageSetup paperSize="9" orientation="portrait" r:id="rId1"/>
  <ignoredErrors>
    <ignoredError sqref="E10:E11 E12:E14"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sheetPr>
  <dimension ref="A1:DJ132"/>
  <sheetViews>
    <sheetView showGridLines="0" topLeftCell="A7" zoomScaleNormal="100" workbookViewId="0">
      <pane xSplit="1" topLeftCell="B1" activePane="topRight" state="frozen"/>
      <selection pane="topRight" activeCell="E16" sqref="E16"/>
    </sheetView>
  </sheetViews>
  <sheetFormatPr defaultColWidth="11.42578125" defaultRowHeight="15" x14ac:dyDescent="0.25"/>
  <cols>
    <col min="1" max="1" width="7.140625" style="13" customWidth="1"/>
    <col min="2" max="4" width="14.140625" style="13" customWidth="1"/>
    <col min="5" max="7" width="15.5703125" style="13" customWidth="1"/>
    <col min="8" max="11" width="13" style="13" customWidth="1"/>
    <col min="12" max="12" width="15.7109375" style="13" customWidth="1"/>
    <col min="13" max="14" width="16.85546875" style="13" customWidth="1"/>
    <col min="15" max="16" width="16.28515625" style="13" customWidth="1"/>
    <col min="17" max="18" width="15.5703125" style="13" customWidth="1"/>
    <col min="19" max="19" width="23.7109375" style="13" hidden="1" customWidth="1"/>
    <col min="20" max="20" width="15.140625" style="13" customWidth="1"/>
    <col min="21" max="21" width="19.5703125" style="13" customWidth="1"/>
    <col min="22" max="22" width="18.85546875" style="13" customWidth="1"/>
    <col min="23" max="23" width="16.5703125" style="13" customWidth="1"/>
    <col min="24" max="24" width="19.140625" style="13" customWidth="1"/>
    <col min="25" max="25" width="15.5703125" style="13" customWidth="1"/>
    <col min="26" max="26" width="13.85546875" style="13" customWidth="1"/>
    <col min="27" max="27" width="13" style="13" customWidth="1"/>
    <col min="28" max="28" width="13.140625" style="13" customWidth="1"/>
    <col min="29" max="29" width="16.5703125" style="13" customWidth="1"/>
    <col min="30" max="30" width="13.140625" style="13" customWidth="1"/>
    <col min="31" max="31" width="8.28515625" style="13" customWidth="1"/>
    <col min="32" max="32" width="11.42578125" style="13"/>
    <col min="33" max="33" width="15.7109375" style="13" bestFit="1" customWidth="1"/>
    <col min="34" max="34" width="17.140625" style="13" customWidth="1"/>
    <col min="35" max="35" width="17.5703125" style="13" customWidth="1"/>
    <col min="36" max="16384" width="11.42578125" style="13"/>
  </cols>
  <sheetData>
    <row r="1" spans="1:114" ht="36.75" customHeight="1" x14ac:dyDescent="0.25">
      <c r="A1" s="184" t="s">
        <v>303</v>
      </c>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07"/>
      <c r="AI1" s="107"/>
    </row>
    <row r="2" spans="1:114" ht="14.45" customHeight="1" x14ac:dyDescent="0.25">
      <c r="A2" s="16" t="s">
        <v>25</v>
      </c>
      <c r="B2" s="168" t="s">
        <v>68</v>
      </c>
      <c r="C2" s="169"/>
      <c r="D2" s="169"/>
      <c r="E2" s="169"/>
      <c r="F2" s="169"/>
      <c r="G2" s="170"/>
      <c r="H2" s="165" t="s">
        <v>116</v>
      </c>
      <c r="I2" s="166"/>
      <c r="J2" s="166"/>
      <c r="K2" s="166"/>
      <c r="L2" s="166"/>
      <c r="M2" s="166"/>
      <c r="N2" s="166"/>
      <c r="O2" s="166"/>
      <c r="P2" s="166"/>
      <c r="Q2" s="166"/>
      <c r="R2" s="166"/>
      <c r="S2" s="166"/>
      <c r="T2" s="166"/>
      <c r="U2" s="166"/>
      <c r="V2" s="166"/>
      <c r="W2" s="179" t="s">
        <v>39</v>
      </c>
      <c r="X2" s="179"/>
      <c r="Y2" s="179"/>
      <c r="Z2" s="179"/>
      <c r="AA2" s="179"/>
      <c r="AB2" s="186" t="s">
        <v>79</v>
      </c>
      <c r="AC2" s="186"/>
      <c r="AD2" s="187"/>
      <c r="AE2" s="174" t="s">
        <v>40</v>
      </c>
      <c r="AF2" s="175"/>
      <c r="AG2" s="175"/>
      <c r="AH2" s="175"/>
      <c r="AI2" s="175"/>
    </row>
    <row r="3" spans="1:114" s="37" customFormat="1" ht="35.25" customHeight="1" x14ac:dyDescent="0.25">
      <c r="A3" s="36"/>
      <c r="B3" s="171"/>
      <c r="C3" s="172"/>
      <c r="D3" s="172"/>
      <c r="E3" s="172"/>
      <c r="F3" s="172"/>
      <c r="G3" s="173"/>
      <c r="H3" s="162" t="s">
        <v>94</v>
      </c>
      <c r="I3" s="163"/>
      <c r="J3" s="163"/>
      <c r="K3" s="163"/>
      <c r="L3" s="190" t="s">
        <v>107</v>
      </c>
      <c r="M3" s="191"/>
      <c r="N3" s="192"/>
      <c r="O3" s="190" t="s">
        <v>99</v>
      </c>
      <c r="P3" s="191"/>
      <c r="Q3" s="191"/>
      <c r="R3" s="191"/>
      <c r="S3" s="191"/>
      <c r="T3" s="191"/>
      <c r="U3" s="191"/>
      <c r="V3" s="191"/>
      <c r="W3" s="181"/>
      <c r="X3" s="181"/>
      <c r="Y3" s="181"/>
      <c r="Z3" s="181"/>
      <c r="AA3" s="181"/>
      <c r="AB3" s="188"/>
      <c r="AC3" s="188"/>
      <c r="AD3" s="189"/>
      <c r="AE3" s="176"/>
      <c r="AF3" s="177"/>
      <c r="AG3" s="177"/>
      <c r="AH3" s="177"/>
      <c r="AI3" s="177"/>
    </row>
    <row r="4" spans="1:114" s="9" customFormat="1" ht="67.5" x14ac:dyDescent="0.2">
      <c r="A4" s="17" t="s">
        <v>43</v>
      </c>
      <c r="B4" s="18" t="s">
        <v>31</v>
      </c>
      <c r="C4" s="18" t="s">
        <v>59</v>
      </c>
      <c r="D4" s="18" t="s">
        <v>31</v>
      </c>
      <c r="E4" s="18" t="s">
        <v>31</v>
      </c>
      <c r="F4" s="18" t="s">
        <v>31</v>
      </c>
      <c r="G4" s="18" t="s">
        <v>250</v>
      </c>
      <c r="H4" s="34" t="s">
        <v>95</v>
      </c>
      <c r="I4" s="34" t="s">
        <v>95</v>
      </c>
      <c r="J4" s="34" t="s">
        <v>95</v>
      </c>
      <c r="K4" s="34" t="s">
        <v>95</v>
      </c>
      <c r="L4" s="34" t="s">
        <v>338</v>
      </c>
      <c r="M4" s="34" t="s">
        <v>338</v>
      </c>
      <c r="N4" s="34" t="s">
        <v>237</v>
      </c>
      <c r="O4" s="34" t="s">
        <v>322</v>
      </c>
      <c r="P4" s="34" t="s">
        <v>238</v>
      </c>
      <c r="Q4" s="34" t="s">
        <v>100</v>
      </c>
      <c r="R4" s="34" t="s">
        <v>100</v>
      </c>
      <c r="S4" s="34" t="s">
        <v>215</v>
      </c>
      <c r="T4" s="34" t="s">
        <v>31</v>
      </c>
      <c r="U4" s="34" t="s">
        <v>122</v>
      </c>
      <c r="V4" s="34" t="s">
        <v>122</v>
      </c>
      <c r="W4" s="19" t="s">
        <v>216</v>
      </c>
      <c r="X4" s="19" t="s">
        <v>130</v>
      </c>
      <c r="Y4" s="19" t="s">
        <v>31</v>
      </c>
      <c r="Z4" s="19" t="s">
        <v>49</v>
      </c>
      <c r="AA4" s="19" t="s">
        <v>48</v>
      </c>
      <c r="AB4" s="29" t="s">
        <v>233</v>
      </c>
      <c r="AC4" s="29" t="s">
        <v>233</v>
      </c>
      <c r="AD4" s="29" t="s">
        <v>233</v>
      </c>
      <c r="AE4" s="26" t="s">
        <v>19</v>
      </c>
      <c r="AF4" s="26" t="s">
        <v>4</v>
      </c>
      <c r="AG4" s="26" t="s">
        <v>4</v>
      </c>
      <c r="AH4" s="26" t="s">
        <v>234</v>
      </c>
      <c r="AI4" s="26" t="s">
        <v>232</v>
      </c>
    </row>
    <row r="5" spans="1:114" s="12" customFormat="1" ht="63.75" x14ac:dyDescent="0.25">
      <c r="A5" s="10" t="s">
        <v>0</v>
      </c>
      <c r="B5" s="11" t="s">
        <v>50</v>
      </c>
      <c r="C5" s="11" t="s">
        <v>11</v>
      </c>
      <c r="D5" s="11" t="s">
        <v>133</v>
      </c>
      <c r="E5" s="11" t="s">
        <v>60</v>
      </c>
      <c r="F5" s="11" t="s">
        <v>61</v>
      </c>
      <c r="G5" s="11" t="s">
        <v>251</v>
      </c>
      <c r="H5" s="11" t="s">
        <v>96</v>
      </c>
      <c r="I5" s="11" t="s">
        <v>97</v>
      </c>
      <c r="J5" s="11" t="s">
        <v>98</v>
      </c>
      <c r="K5" s="11" t="s">
        <v>101</v>
      </c>
      <c r="L5" s="11" t="s">
        <v>327</v>
      </c>
      <c r="M5" s="11" t="s">
        <v>328</v>
      </c>
      <c r="N5" s="109" t="s">
        <v>236</v>
      </c>
      <c r="O5" s="11" t="s">
        <v>240</v>
      </c>
      <c r="P5" s="11" t="s">
        <v>239</v>
      </c>
      <c r="Q5" s="11" t="s">
        <v>104</v>
      </c>
      <c r="R5" s="11" t="s">
        <v>212</v>
      </c>
      <c r="S5" s="11" t="s">
        <v>214</v>
      </c>
      <c r="T5" s="11" t="s">
        <v>126</v>
      </c>
      <c r="U5" s="11" t="s">
        <v>125</v>
      </c>
      <c r="V5" s="11" t="s">
        <v>137</v>
      </c>
      <c r="W5" s="11" t="s">
        <v>136</v>
      </c>
      <c r="X5" s="11" t="s">
        <v>217</v>
      </c>
      <c r="Y5" s="11" t="s">
        <v>88</v>
      </c>
      <c r="Z5" s="11" t="s">
        <v>14</v>
      </c>
      <c r="AA5" s="11" t="s">
        <v>218</v>
      </c>
      <c r="AB5" s="11" t="s">
        <v>45</v>
      </c>
      <c r="AC5" s="11" t="s">
        <v>82</v>
      </c>
      <c r="AD5" s="11" t="s">
        <v>83</v>
      </c>
      <c r="AE5" s="11" t="s">
        <v>26</v>
      </c>
      <c r="AF5" s="11" t="s">
        <v>16</v>
      </c>
      <c r="AG5" s="11" t="s">
        <v>17</v>
      </c>
      <c r="AH5" s="11" t="s">
        <v>227</v>
      </c>
      <c r="AI5" s="11" t="s">
        <v>141</v>
      </c>
    </row>
    <row r="6" spans="1:114" s="12" customFormat="1" ht="12.75" x14ac:dyDescent="0.25">
      <c r="A6" s="10" t="s">
        <v>9</v>
      </c>
      <c r="B6" s="11" t="s">
        <v>51</v>
      </c>
      <c r="C6" s="11" t="s">
        <v>10</v>
      </c>
      <c r="D6" s="11" t="s">
        <v>134</v>
      </c>
      <c r="E6" s="11" t="s">
        <v>33</v>
      </c>
      <c r="F6" s="11" t="s">
        <v>30</v>
      </c>
      <c r="G6" s="11" t="s">
        <v>129</v>
      </c>
      <c r="H6" s="11" t="s">
        <v>84</v>
      </c>
      <c r="I6" s="11" t="s">
        <v>85</v>
      </c>
      <c r="J6" s="11" t="s">
        <v>86</v>
      </c>
      <c r="K6" s="11" t="s">
        <v>106</v>
      </c>
      <c r="L6" s="11" t="s">
        <v>89</v>
      </c>
      <c r="M6" s="11" t="s">
        <v>90</v>
      </c>
      <c r="N6" s="11" t="s">
        <v>235</v>
      </c>
      <c r="O6" s="11" t="s">
        <v>121</v>
      </c>
      <c r="P6" s="11" t="s">
        <v>121</v>
      </c>
      <c r="Q6" s="11" t="s">
        <v>105</v>
      </c>
      <c r="R6" s="11" t="s">
        <v>213</v>
      </c>
      <c r="S6" s="11" t="s">
        <v>115</v>
      </c>
      <c r="T6" s="11" t="s">
        <v>127</v>
      </c>
      <c r="U6" s="11" t="s">
        <v>87</v>
      </c>
      <c r="V6" s="11" t="s">
        <v>119</v>
      </c>
      <c r="W6" s="11" t="s">
        <v>128</v>
      </c>
      <c r="X6" s="11" t="s">
        <v>62</v>
      </c>
      <c r="Y6" s="11" t="s">
        <v>24</v>
      </c>
      <c r="Z6" s="11" t="s">
        <v>135</v>
      </c>
      <c r="AA6" s="11" t="s">
        <v>23</v>
      </c>
      <c r="AB6" s="11" t="s">
        <v>44</v>
      </c>
      <c r="AC6" s="11" t="s">
        <v>47</v>
      </c>
      <c r="AD6" s="11" t="s">
        <v>13</v>
      </c>
      <c r="AE6" s="11" t="s">
        <v>18</v>
      </c>
      <c r="AF6" s="11" t="s">
        <v>20</v>
      </c>
      <c r="AG6" s="11" t="s">
        <v>21</v>
      </c>
      <c r="AH6" s="11" t="s">
        <v>228</v>
      </c>
      <c r="AI6" s="11" t="s">
        <v>142</v>
      </c>
    </row>
    <row r="7" spans="1:114" x14ac:dyDescent="0.25">
      <c r="A7" s="22">
        <v>2010</v>
      </c>
      <c r="B7" s="28">
        <f>Parameters!$C$3</f>
        <v>2.3E-2</v>
      </c>
      <c r="C7" s="28">
        <f>Parameters!$C$5</f>
        <v>46.486621</v>
      </c>
      <c r="D7" s="70">
        <f>Parameters!$C$19</f>
        <v>0.1</v>
      </c>
      <c r="E7" s="21">
        <f>Parameters!$C$7</f>
        <v>7.9000000000000001E-2</v>
      </c>
      <c r="F7" s="24">
        <f>Parameters!$C$6</f>
        <v>3.8</v>
      </c>
      <c r="G7" s="116">
        <f>11614/10</f>
        <v>1161.4000000000001</v>
      </c>
      <c r="H7" s="14">
        <f>Parameters!L39</f>
        <v>9146.3410262155503</v>
      </c>
      <c r="I7" s="14">
        <f>Parameters!M39</f>
        <v>17735.657629397268</v>
      </c>
      <c r="J7" s="14">
        <f>Parameters!N39</f>
        <v>30057.03786690567</v>
      </c>
      <c r="K7" s="14">
        <f>Parameters!O39</f>
        <v>182503.48196280529</v>
      </c>
      <c r="L7" s="14">
        <f>'LCOE Sensitivity Analysis'!L81+Parameters!$C$26</f>
        <v>55.392867498220582</v>
      </c>
      <c r="M7" s="14">
        <f>'LCOE Sensitivity Analysis'!M81+Parameters!$C$26</f>
        <v>73.77560210532711</v>
      </c>
      <c r="N7" s="111">
        <f>Parameters!P39</f>
        <v>26881998.655612819</v>
      </c>
      <c r="O7" s="112">
        <f>((((((L7*H7)+(M7*I7))*Parameters!$C$24)/1000000)*N7)/1000000)-BAU!Q7</f>
        <v>-40.778959737601639</v>
      </c>
      <c r="P7" s="112">
        <f>(((L7*Parameters!L39)+(M7*Parameters!M39))*Parameters!$C$24)/1000000</f>
        <v>1.7100065361288266</v>
      </c>
      <c r="Q7" s="39">
        <f>(H7+I7)/Parameters!B39</f>
        <v>9.0111285383523795E-2</v>
      </c>
      <c r="R7" s="39">
        <f>Parameters!O39/Parameters!B39</f>
        <v>0.6117708566733886</v>
      </c>
      <c r="S7" s="113">
        <f>(IF(Q7-BAU!N7 &lt; 0, 0, Q7-BAU!N7))+(IF(BAU!O7-R7 &lt; 0,  0, BAU!O7-R7))</f>
        <v>0</v>
      </c>
      <c r="T7" s="39">
        <f>S7</f>
        <v>0</v>
      </c>
      <c r="U7" s="32">
        <f>Parameters!$C$30</f>
        <v>0.06</v>
      </c>
      <c r="V7" s="87">
        <f>U7*(T7^Parameters!$C$31)</f>
        <v>0</v>
      </c>
      <c r="W7" s="21">
        <f>R7</f>
        <v>0.6117708566733886</v>
      </c>
      <c r="X7" s="21">
        <f>(1-T7)*W7*G7</f>
        <v>710.51067294047357</v>
      </c>
      <c r="Y7" s="20">
        <f>Parameters!$C$11</f>
        <v>530</v>
      </c>
      <c r="Z7" s="23">
        <f>Y7*Parameters!$C$13</f>
        <v>0.95399999999999996</v>
      </c>
      <c r="AA7" s="32">
        <f>1/(1+((Z7/20.46)^2)+((Z7/6081)^6754))</f>
        <v>0.99783058667694802</v>
      </c>
      <c r="AB7" s="28">
        <f>((Parameters!$C$18*F7*AA7)/(D7+B7))^(1/(1-Parameters!$C$21))</f>
        <v>8.8483217392581075</v>
      </c>
      <c r="AC7" s="24">
        <f>(1-V7)*AA7*F7*(AB7^Parameters!$C$21)</f>
        <v>9.0695297827395613</v>
      </c>
      <c r="AD7" s="23">
        <f>(1-Parameters!$C$18)*AC7</f>
        <v>7.9811862088108141</v>
      </c>
      <c r="AE7" s="30">
        <f t="shared" ref="AE7:AE15" si="0">LN(AD7)</f>
        <v>2.0770870481353931</v>
      </c>
      <c r="AF7" s="23">
        <f>1/(1+Parameters!$C$22*(A7-$A$7))</f>
        <v>1</v>
      </c>
      <c r="AG7" s="30">
        <f t="shared" ref="AG7:AG15" si="1">C7*AE7*AF7</f>
        <v>96.55675839067878</v>
      </c>
      <c r="AH7" s="30">
        <f>BAU!AF7</f>
        <v>9.1024174870568153</v>
      </c>
      <c r="AI7" s="30">
        <f t="shared" ref="AI7:AI15" si="2">(AC7-AH7)*C7</f>
        <v>-1.5288382461562486</v>
      </c>
      <c r="AJ7" s="4"/>
      <c r="AK7" s="4"/>
      <c r="AL7" s="4"/>
      <c r="AM7" s="1"/>
      <c r="AN7" s="1"/>
      <c r="AO7" s="1"/>
      <c r="AP7" s="1"/>
      <c r="AQ7" s="1"/>
      <c r="AR7" s="1"/>
      <c r="AS7" s="1"/>
      <c r="AT7" s="1"/>
      <c r="AU7" s="1"/>
      <c r="AV7" s="1"/>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row>
    <row r="8" spans="1:114" x14ac:dyDescent="0.25">
      <c r="A8" s="22">
        <v>2015</v>
      </c>
      <c r="B8" s="27">
        <f>B7/(1+Parameters!$C$4)</f>
        <v>2.1863117870722433E-2</v>
      </c>
      <c r="C8" s="28">
        <f t="shared" ref="C8:C15" si="3">C7*(1+B8)</f>
        <v>47.502963474334599</v>
      </c>
      <c r="D8" s="70">
        <f>Parameters!$C$19+(Parameters!$C$20*S8)</f>
        <v>0.1</v>
      </c>
      <c r="E8" s="25">
        <f>($E$7/((1+Parameters!$C$8)^(A8-$A$7)))-Parameters!$C$9*Z8</f>
        <v>7.5351284301591923E-2</v>
      </c>
      <c r="F8" s="24">
        <f>F7*(1+E8)</f>
        <v>4.0863348803460493</v>
      </c>
      <c r="G8" s="116">
        <v>1221.3</v>
      </c>
      <c r="H8" s="14">
        <f>Parameters!L40</f>
        <v>8548.881871261412</v>
      </c>
      <c r="I8" s="14">
        <f>Parameters!M40</f>
        <v>16577.125382519083</v>
      </c>
      <c r="J8" s="14">
        <f>Parameters!N40</f>
        <v>28093.645905801815</v>
      </c>
      <c r="K8" s="14">
        <f>Parameters!O40</f>
        <v>170581.9522716254</v>
      </c>
      <c r="L8" s="14">
        <f>'LCOE Sensitivity Analysis'!L82+Parameters!$C$26</f>
        <v>54.305942309716542</v>
      </c>
      <c r="M8" s="14">
        <f>'LCOE Sensitivity Analysis'!M82+Parameters!$C$26</f>
        <v>73.070374361710009</v>
      </c>
      <c r="N8" s="111">
        <f>Parameters!P40</f>
        <v>25126007.253780495</v>
      </c>
      <c r="O8" s="112">
        <f>((((((L8*H8)+(M8*I8))*Parameters!$C$24)/1000000)*N8)/1000000)-BAU!Q8</f>
        <v>-126.56184946986171</v>
      </c>
      <c r="P8" s="112">
        <f>(((L8*Parameters!L40)+(M8*Parameters!M40))*Parameters!$C$24)/1000000</f>
        <v>1.5785373915305154</v>
      </c>
      <c r="Q8" s="39">
        <f>(H8+I8)/Parameters!B40</f>
        <v>9.0111285383523781E-2</v>
      </c>
      <c r="R8" s="39">
        <f>Parameters!O40/Parameters!B40</f>
        <v>0.6117708566733886</v>
      </c>
      <c r="S8" s="113">
        <f>(IF(Q8-BAU!N8 &lt; 0, 0, Q8-BAU!N8))+(IF(BAU!O8-R8 &lt; 0,  0, BAU!O8-R8))</f>
        <v>0</v>
      </c>
      <c r="T8" s="39">
        <f t="shared" ref="T8:T15" si="4">S8</f>
        <v>0</v>
      </c>
      <c r="U8" s="32">
        <f>U7*(1+(-E8))</f>
        <v>5.5478922941904485E-2</v>
      </c>
      <c r="V8" s="87">
        <f>U8*(T8^Parameters!$C$31)</f>
        <v>0</v>
      </c>
      <c r="W8" s="21">
        <f t="shared" ref="W8:W15" si="5">R8</f>
        <v>0.6117708566733886</v>
      </c>
      <c r="X8" s="21">
        <f>(1-T8)*W8*G8</f>
        <v>747.15574725520946</v>
      </c>
      <c r="Y8" s="20">
        <f>Y7+(X8/Parameters!$C$12)</f>
        <v>733.76974925142076</v>
      </c>
      <c r="Z8" s="23">
        <f>Y8*Parameters!$C$13</f>
        <v>1.3207855486525573</v>
      </c>
      <c r="AA8" s="32">
        <f t="shared" ref="AA8:AA15" si="6">1/(1+((Z8/20.46)^2)+((Z8/6081)^6754))</f>
        <v>0.99585000771608345</v>
      </c>
      <c r="AB8" s="28">
        <f>((Parameters!$C$18*F8*AA8)/(D8+B8))^(1/(1-Parameters!$C$21))</f>
        <v>10.109462775912851</v>
      </c>
      <c r="AC8" s="24">
        <f>(1-V8)*AA8*F8*(AB8^Parameters!$C$21)</f>
        <v>10.26642211558957</v>
      </c>
      <c r="AD8" s="23">
        <f>(1-Parameters!$C$18)*AC8</f>
        <v>9.0344514617188221</v>
      </c>
      <c r="AE8" s="30">
        <f t="shared" si="0"/>
        <v>2.2010452096077286</v>
      </c>
      <c r="AF8" s="23">
        <f>1/(1+Parameters!$C$22*(A8-$A$7))</f>
        <v>0.93023255813953487</v>
      </c>
      <c r="AG8" s="30">
        <f t="shared" si="1"/>
        <v>97.261553671958211</v>
      </c>
      <c r="AH8" s="30">
        <f>BAU!AF8</f>
        <v>10.358997143018955</v>
      </c>
      <c r="AI8" s="30">
        <f t="shared" si="2"/>
        <v>-4.397588146613602</v>
      </c>
      <c r="AJ8" s="4"/>
      <c r="AK8" s="4"/>
      <c r="AL8" s="4"/>
      <c r="AM8" s="1"/>
      <c r="AN8" s="1"/>
      <c r="AO8" s="1"/>
      <c r="AP8" s="1"/>
      <c r="AQ8" s="1"/>
      <c r="AR8" s="1"/>
      <c r="AS8" s="1"/>
      <c r="AT8" s="1"/>
      <c r="AU8" s="1"/>
      <c r="AV8" s="1"/>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row>
    <row r="9" spans="1:114" x14ac:dyDescent="0.25">
      <c r="A9" s="22">
        <v>2020</v>
      </c>
      <c r="B9" s="27">
        <f>B8/(1+Parameters!$C$4)</f>
        <v>2.0782431436047938E-2</v>
      </c>
      <c r="C9" s="28">
        <f t="shared" si="3"/>
        <v>48.490190555749045</v>
      </c>
      <c r="D9" s="70">
        <f>Parameters!$C$19+(Parameters!$C$20*S9)</f>
        <v>0.1</v>
      </c>
      <c r="E9" s="25">
        <f>($E$7/((1+Parameters!$C$8)^(A9-$A$7)))-Parameters!$C$9*Z9</f>
        <v>7.2723394904752978E-2</v>
      </c>
      <c r="F9" s="24">
        <f>F8*(1+E9)</f>
        <v>4.3835070255625217</v>
      </c>
      <c r="G9" s="116">
        <v>1227.2</v>
      </c>
      <c r="H9" s="14">
        <f>Parameters!L41</f>
        <v>7555.8071452374033</v>
      </c>
      <c r="I9" s="14">
        <f>Parameters!M41</f>
        <v>14651.455511836719</v>
      </c>
      <c r="J9" s="14">
        <f>Parameters!N41</f>
        <v>24830.167695311222</v>
      </c>
      <c r="K9" s="14">
        <f>Parameters!O41</f>
        <v>150766.42223298311</v>
      </c>
      <c r="L9" s="14">
        <f>'LCOE Sensitivity Analysis'!L83+Parameters!$C$26</f>
        <v>53.241373075138632</v>
      </c>
      <c r="M9" s="14">
        <f>'LCOE Sensitivity Analysis'!M83+Parameters!$C$26</f>
        <v>72.372129071000003</v>
      </c>
      <c r="N9" s="111">
        <f>Parameters!P41</f>
        <v>22207262.657074124</v>
      </c>
      <c r="O9" s="112">
        <f>((((((L9*H9)+(M9*I9))*Parameters!$C$24)/1000000)*N9)/1000000)-BAU!Q9</f>
        <v>-263.52845816007289</v>
      </c>
      <c r="P9" s="112">
        <f>(((L9*Parameters!L41)+(M9*Parameters!M41))*Parameters!$C$24)/1000000</f>
        <v>1.3779518029056179</v>
      </c>
      <c r="Q9" s="39">
        <f>(H9+I9)/Parameters!B41</f>
        <v>9.0111285383523795E-2</v>
      </c>
      <c r="R9" s="39">
        <f>Parameters!O41/Parameters!B41</f>
        <v>0.6117708566733886</v>
      </c>
      <c r="S9" s="113">
        <f>(IF(Q9-BAU!N9 &lt; 0, 0, Q9-BAU!N9))+(IF(BAU!O9-R9 &lt; 0,  0, BAU!O9-R9))</f>
        <v>0</v>
      </c>
      <c r="T9" s="39">
        <f t="shared" si="4"/>
        <v>0</v>
      </c>
      <c r="U9" s="32">
        <f t="shared" ref="U9:U15" si="7">U8*(1+(-E9))</f>
        <v>5.1444307319910003E-2</v>
      </c>
      <c r="V9" s="87">
        <f>U9*(T9^Parameters!$C$31)</f>
        <v>0</v>
      </c>
      <c r="W9" s="21">
        <f t="shared" si="5"/>
        <v>0.6117708566733886</v>
      </c>
      <c r="X9" s="21">
        <f t="shared" ref="X9:X15" si="8">(1-T9)*W9*G9</f>
        <v>750.76519530958251</v>
      </c>
      <c r="Y9" s="20">
        <f>Y8+(X9/Parameters!$C$12)</f>
        <v>938.52389342676145</v>
      </c>
      <c r="Z9" s="23">
        <f>Y9*Parameters!$C$13</f>
        <v>1.6893430081681706</v>
      </c>
      <c r="AA9" s="32">
        <f t="shared" si="6"/>
        <v>0.99322867485943078</v>
      </c>
      <c r="AB9" s="28">
        <f>((Parameters!$C$18*F9*AA9)/(D9+B9))^(1/(1-Parameters!$C$21))</f>
        <v>11.483670525466737</v>
      </c>
      <c r="AC9" s="24">
        <f>(1-V9)*AA9*F9*(AB9^Parameters!$C$21)</f>
        <v>11.558547065636253</v>
      </c>
      <c r="AD9" s="23">
        <f>(1-Parameters!$C$18)*AC9</f>
        <v>10.171521417759903</v>
      </c>
      <c r="AE9" s="30">
        <f t="shared" si="0"/>
        <v>2.3195917974715079</v>
      </c>
      <c r="AF9" s="23">
        <f>1/(1+Parameters!$C$22*(A9-$A$7))</f>
        <v>0.86956521739130443</v>
      </c>
      <c r="AG9" s="30">
        <f t="shared" si="1"/>
        <v>97.806476757344242</v>
      </c>
      <c r="AH9" s="30">
        <f>BAU!AF9</f>
        <v>11.74488149448006</v>
      </c>
      <c r="AI9" s="30">
        <f t="shared" si="2"/>
        <v>-9.0353919617328682</v>
      </c>
      <c r="AJ9" s="4"/>
      <c r="AK9" s="4"/>
      <c r="AL9" s="4"/>
      <c r="AM9" s="1"/>
      <c r="AN9" s="1"/>
      <c r="AO9" s="1"/>
      <c r="AP9" s="1"/>
      <c r="AQ9" s="1"/>
      <c r="AR9" s="1"/>
      <c r="AS9" s="1"/>
      <c r="AT9" s="1"/>
      <c r="AU9" s="1"/>
      <c r="AV9" s="1"/>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row>
    <row r="10" spans="1:114" ht="21.6" customHeight="1" x14ac:dyDescent="0.25">
      <c r="A10" s="22">
        <v>2025</v>
      </c>
      <c r="B10" s="27">
        <f>B9/(1+Parameters!$C$4)</f>
        <v>1.9755162962022753E-2</v>
      </c>
      <c r="C10" s="28">
        <f t="shared" si="3"/>
        <v>49.448122172237404</v>
      </c>
      <c r="D10" s="70">
        <f>Parameters!$C$19+(Parameters!$C$20*S10)</f>
        <v>0.10024252373868879</v>
      </c>
      <c r="E10" s="25">
        <f>($E$7/((1+Parameters!$C$8)^(A10-$A$7)))-Parameters!$C$9*Z10</f>
        <v>7.0399919139655695E-2</v>
      </c>
      <c r="F10" s="24">
        <f>F9*(1+E10)</f>
        <v>4.6921055657102357</v>
      </c>
      <c r="G10" s="116">
        <v>1401.8</v>
      </c>
      <c r="H10" s="14">
        <f>Parameters!L42</f>
        <v>52266.106227299118</v>
      </c>
      <c r="I10" s="14">
        <f>Parameters!M42</f>
        <v>60049.781731450697</v>
      </c>
      <c r="J10" s="14">
        <f>Parameters!N42</f>
        <v>28322.680519441721</v>
      </c>
      <c r="K10" s="14">
        <f>Parameters!O42</f>
        <v>70173.059121243219</v>
      </c>
      <c r="L10" s="14">
        <f>'LCOE Sensitivity Analysis'!L84+Parameters!$C$26</f>
        <v>52.198699975649987</v>
      </c>
      <c r="M10" s="14">
        <f>'LCOE Sensitivity Analysis'!M84+Parameters!$C$26</f>
        <v>71.680797100000007</v>
      </c>
      <c r="N10" s="111">
        <f>Parameters!P42</f>
        <v>112315887.95874982</v>
      </c>
      <c r="O10" s="112">
        <f>((((((L10*H10)+(M10*I10))*Parameters!$C$24)/1000000)*N10)/1000000)-BAU!Q10</f>
        <v>256.55638710793573</v>
      </c>
      <c r="P10" s="112">
        <f>(((L10*Parameters!L42)+(M10*Parameters!M42))*Parameters!$C$24)/1000000</f>
        <v>6.6254492189007994</v>
      </c>
      <c r="Q10" s="39">
        <f>(H10+I10)/Parameters!B42</f>
        <v>0.40138278486440127</v>
      </c>
      <c r="R10" s="39">
        <f>Parameters!O42/Parameters!B42</f>
        <v>0.25077714653231858</v>
      </c>
      <c r="S10" s="113">
        <f>(IF(Q10-BAU!N10 &lt; 0, 0, Q10-BAU!N10))+(IF(BAU!O10-R10 &lt; 0,  0, BAU!O10-R10))</f>
        <v>0.24252373868879173</v>
      </c>
      <c r="T10" s="39">
        <f t="shared" si="4"/>
        <v>0.24252373868879173</v>
      </c>
      <c r="U10" s="32">
        <f t="shared" si="7"/>
        <v>4.7822632244392739E-2</v>
      </c>
      <c r="V10" s="87">
        <f>U10*(T10^Parameters!$C$31)</f>
        <v>9.0561871675760332E-4</v>
      </c>
      <c r="W10" s="21">
        <f t="shared" si="5"/>
        <v>0.25077714653231858</v>
      </c>
      <c r="X10" s="21">
        <f t="shared" si="8"/>
        <v>266.28275345231089</v>
      </c>
      <c r="Y10" s="20">
        <f>Y9+(X10/Parameters!$C$12)</f>
        <v>1011.1464625501189</v>
      </c>
      <c r="Z10" s="23">
        <f>Y10*Parameters!$C$13</f>
        <v>1.820063632590214</v>
      </c>
      <c r="AA10" s="32">
        <f t="shared" si="6"/>
        <v>0.99214875236270261</v>
      </c>
      <c r="AB10" s="28">
        <f>((Parameters!$C$18*F10*AA10)/(D10+B10))^(1/(1-Parameters!$C$21))</f>
        <v>12.979408332684407</v>
      </c>
      <c r="AC10" s="24">
        <f>(1-V10)*AA10*F10*(AB10^Parameters!$C$21)</f>
        <v>12.967403953693998</v>
      </c>
      <c r="AD10" s="23">
        <f>(1-Parameters!$C$18)*AC10</f>
        <v>11.411315479250717</v>
      </c>
      <c r="AE10" s="30">
        <f t="shared" si="0"/>
        <v>2.4346054490119835</v>
      </c>
      <c r="AF10" s="23">
        <f>1/(1+Parameters!$C$22*(A10-$A$7))</f>
        <v>0.81632653061224481</v>
      </c>
      <c r="AG10" s="30">
        <f t="shared" si="1"/>
        <v>98.274830762399546</v>
      </c>
      <c r="AH10" s="30">
        <f>BAU!AF10</f>
        <v>13.267674708883096</v>
      </c>
      <c r="AI10" s="30">
        <f t="shared" si="2"/>
        <v>-14.847824987340516</v>
      </c>
      <c r="AJ10" s="4"/>
      <c r="AK10" s="4"/>
      <c r="AL10" s="4"/>
      <c r="AM10" s="1"/>
      <c r="AN10" s="1"/>
      <c r="AO10" s="1"/>
      <c r="AP10" s="1"/>
      <c r="AQ10" s="1"/>
      <c r="AR10" s="1"/>
      <c r="AS10" s="1"/>
      <c r="AT10" s="1"/>
      <c r="AU10" s="1"/>
      <c r="AV10" s="1"/>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row>
    <row r="11" spans="1:114" x14ac:dyDescent="0.25">
      <c r="A11" s="22">
        <v>2030</v>
      </c>
      <c r="B11" s="27">
        <f>B10/(1+Parameters!$C$4)</f>
        <v>1.8778672017131893E-2</v>
      </c>
      <c r="C11" s="28">
        <f>C10*(1+B11)</f>
        <v>50.376692240372918</v>
      </c>
      <c r="D11" s="70">
        <f>Parameters!$C$19+(Parameters!$C$20*S11)</f>
        <v>0.10014965555636859</v>
      </c>
      <c r="E11" s="25">
        <f>($E$7/((1+Parameters!$C$8)^(A11-$A$7)))-Parameters!$C$9*Z11</f>
        <v>6.811669878253683E-2</v>
      </c>
      <c r="F11" s="24">
        <f t="shared" ref="F11:F14" si="9">F10*(1+E11)</f>
        <v>5.0117163071855844</v>
      </c>
      <c r="G11" s="116">
        <v>1481.4</v>
      </c>
      <c r="H11" s="14">
        <f>Parameters!L43</f>
        <v>55375.650727690052</v>
      </c>
      <c r="I11" s="14">
        <f>Parameters!M43</f>
        <v>63622.41191210071</v>
      </c>
      <c r="J11" s="14">
        <f>Parameters!N43</f>
        <v>30007.723500500048</v>
      </c>
      <c r="K11" s="14">
        <f>Parameters!O43</f>
        <v>74347.968365813998</v>
      </c>
      <c r="L11" s="14">
        <f>'LCOE Sensitivity Analysis'!L85+Parameters!$C$26</f>
        <v>51.177472649999991</v>
      </c>
      <c r="M11" s="14">
        <f>'LCOE Sensitivity Analysis'!M85+Parameters!$C$26</f>
        <v>70.996310000000008</v>
      </c>
      <c r="N11" s="111">
        <f>Parameters!P43</f>
        <v>118998062.63979076</v>
      </c>
      <c r="O11" s="112">
        <f>((((((L11*H11)+(M11*I11))*Parameters!$C$24)/1000000)*N11)/1000000)-BAU!Q11</f>
        <v>79.751594995756705</v>
      </c>
      <c r="P11" s="112">
        <f>(((L11*Parameters!L43)+(M11*Parameters!M43))*Parameters!$C$24)/1000000</f>
        <v>6.9253227687646834</v>
      </c>
      <c r="Q11" s="39">
        <f>(H11+I11)/Parameters!B43</f>
        <v>0.40138278486440132</v>
      </c>
      <c r="R11" s="39">
        <f>Parameters!O43/Parameters!B43</f>
        <v>0.25077714653231858</v>
      </c>
      <c r="S11" s="113">
        <f>(IF(Q11-BAU!N11 &lt; 0, 0, Q11-BAU!N11))+(IF(BAU!O11-R11 &lt; 0,  0, BAU!O11-R11))</f>
        <v>0.14965555636859185</v>
      </c>
      <c r="T11" s="39">
        <f t="shared" si="4"/>
        <v>0.14965555636859185</v>
      </c>
      <c r="U11" s="32">
        <f t="shared" si="7"/>
        <v>4.4565112408813411E-2</v>
      </c>
      <c r="V11" s="87">
        <f>U11*(T11^Parameters!$C$31)</f>
        <v>2.1840117706142383E-4</v>
      </c>
      <c r="W11" s="21">
        <f t="shared" si="5"/>
        <v>0.25077714653231858</v>
      </c>
      <c r="X11" s="21">
        <f t="shared" si="8"/>
        <v>315.90403638677583</v>
      </c>
      <c r="Y11" s="20">
        <f>Y10+(X11/Parameters!$C$12)</f>
        <v>1097.3021088374214</v>
      </c>
      <c r="Z11" s="23">
        <f>Y11*Parameters!$C$13</f>
        <v>1.9751437959073586</v>
      </c>
      <c r="AA11" s="32">
        <f t="shared" si="6"/>
        <v>0.99076668664473466</v>
      </c>
      <c r="AB11" s="28">
        <f>((Parameters!$C$18*F11*AA11)/(D11+B11))^(1/(1-Parameters!$C$21))</f>
        <v>14.669760226293048</v>
      </c>
      <c r="AC11" s="24">
        <f>(1-V11)*AA11*F11*(AB11^Parameters!$C$21)</f>
        <v>14.535575133274101</v>
      </c>
      <c r="AD11" s="23">
        <f>(1-Parameters!$C$18)*AC11</f>
        <v>12.791306117281209</v>
      </c>
      <c r="AE11" s="30">
        <f t="shared" si="0"/>
        <v>2.5487657305708353</v>
      </c>
      <c r="AF11" s="23">
        <f>1/(1+Parameters!$C$22*(A11-$A$7))</f>
        <v>0.76923076923076916</v>
      </c>
      <c r="AG11" s="30">
        <f t="shared" si="1"/>
        <v>98.767989847520155</v>
      </c>
      <c r="AH11" s="30">
        <f>BAU!AF11</f>
        <v>14.934834851616968</v>
      </c>
      <c r="AI11" s="30">
        <f t="shared" si="2"/>
        <v>-20.113383954936573</v>
      </c>
      <c r="AJ11" s="4"/>
      <c r="AK11" s="4"/>
      <c r="AL11" s="4"/>
      <c r="AM11" s="1"/>
      <c r="AN11" s="1"/>
      <c r="AO11" s="1"/>
      <c r="AP11" s="1"/>
      <c r="AQ11" s="1"/>
      <c r="AR11" s="1"/>
      <c r="AS11" s="1"/>
      <c r="AT11" s="1"/>
      <c r="AU11" s="1"/>
      <c r="AV11" s="1"/>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row>
    <row r="12" spans="1:114" x14ac:dyDescent="0.25">
      <c r="A12" s="22">
        <v>2035</v>
      </c>
      <c r="B12" s="27">
        <f>B11/(1+Parameters!$C$4)</f>
        <v>1.7850448685486589E-2</v>
      </c>
      <c r="C12" s="28">
        <f t="shared" si="3"/>
        <v>51.27593880015425</v>
      </c>
      <c r="D12" s="70">
        <f>Parameters!$C$19+(Parameters!$C$20*S12)</f>
        <v>0.10058955613018551</v>
      </c>
      <c r="E12" s="25">
        <f>($E$7/((1+Parameters!$C$8)^(A12-$A$7)))-Parameters!$C$9*Z12</f>
        <v>6.6047724598335189E-2</v>
      </c>
      <c r="F12" s="24">
        <f t="shared" si="9"/>
        <v>5.3427287656075642</v>
      </c>
      <c r="G12" s="116">
        <v>1574.3</v>
      </c>
      <c r="H12" s="14">
        <f>Parameters!L44</f>
        <v>92623.745800238437</v>
      </c>
      <c r="I12" s="14">
        <f>Parameters!M44</f>
        <v>102173.81905637246</v>
      </c>
      <c r="J12" s="14">
        <f>Parameters!N44</f>
        <v>26404.103450188337</v>
      </c>
      <c r="K12" s="14">
        <f>Parameters!O44</f>
        <v>3437.1562060801293</v>
      </c>
      <c r="L12" s="14">
        <f>'LCOE Sensitivity Analysis'!L86+Parameters!$C$26</f>
        <v>50.177249999999994</v>
      </c>
      <c r="M12" s="14">
        <f>'LCOE Sensitivity Analysis'!M86+Parameters!$C$26</f>
        <v>70.318600000000004</v>
      </c>
      <c r="N12" s="111">
        <f>Parameters!P44</f>
        <v>194797564.85661089</v>
      </c>
      <c r="O12" s="112">
        <f>((((((L12*H12)+(M12*I12))*Parameters!$C$24)/1000000)*N12)/1000000)-BAU!Q12</f>
        <v>1294.410204288381</v>
      </c>
      <c r="P12" s="112">
        <f>(((L12*Parameters!L44)+(M12*Parameters!M44))*Parameters!$C$24)/1000000</f>
        <v>11.147233157952771</v>
      </c>
      <c r="Q12" s="39">
        <f>(H12+I12)/Parameters!B44</f>
        <v>0.63335278411401696</v>
      </c>
      <c r="R12" s="39">
        <f>Parameters!O44/Parameters!B44</f>
        <v>1.1175357629126659E-2</v>
      </c>
      <c r="S12" s="113">
        <f>(IF(Q12-BAU!N12 &lt; 0, 0, Q12-BAU!N12))+(IF(BAU!O12-R12 &lt; 0,  0, BAU!O12-R12))</f>
        <v>0.58955613018550068</v>
      </c>
      <c r="T12" s="39">
        <f t="shared" si="4"/>
        <v>0.58955613018550068</v>
      </c>
      <c r="U12" s="32">
        <f t="shared" si="7"/>
        <v>4.1621688137742252E-2</v>
      </c>
      <c r="V12" s="87">
        <f>U12*(T12^Parameters!$C$31)</f>
        <v>9.4796027317067526E-3</v>
      </c>
      <c r="W12" s="21">
        <f t="shared" si="5"/>
        <v>1.1175357629126659E-2</v>
      </c>
      <c r="X12" s="21">
        <f t="shared" si="8"/>
        <v>7.221089025256779</v>
      </c>
      <c r="Y12" s="20">
        <f>Y11+(X12/Parameters!$C$12)</f>
        <v>1099.2714967534005</v>
      </c>
      <c r="Z12" s="23">
        <f>Y12*Parameters!$C$13</f>
        <v>1.9786886941561208</v>
      </c>
      <c r="AA12" s="32">
        <f t="shared" si="6"/>
        <v>0.99073382122633646</v>
      </c>
      <c r="AB12" s="28">
        <f>((Parameters!$C$18*F12*AA12)/(D12+B12))^(1/(1-Parameters!$C$21))</f>
        <v>16.431286794304526</v>
      </c>
      <c r="AC12" s="24">
        <f>(1-V12)*AA12*F12*(AB12^Parameters!$C$21)</f>
        <v>16.063943554869756</v>
      </c>
      <c r="AD12" s="23">
        <f>(1-Parameters!$C$18)*AC12</f>
        <v>14.136270328285384</v>
      </c>
      <c r="AE12" s="30">
        <f t="shared" si="0"/>
        <v>2.6487438582276823</v>
      </c>
      <c r="AF12" s="23">
        <f>1/(1+Parameters!$C$22*(A12-$A$7))</f>
        <v>0.72727272727272729</v>
      </c>
      <c r="AG12" s="30">
        <f t="shared" si="1"/>
        <v>98.77587488855788</v>
      </c>
      <c r="AH12" s="30">
        <f>BAU!AF12</f>
        <v>16.753616251228273</v>
      </c>
      <c r="AI12" s="30">
        <f t="shared" si="2"/>
        <v>-35.363614970616702</v>
      </c>
      <c r="AJ12" s="4"/>
      <c r="AK12" s="4"/>
      <c r="AL12" s="4"/>
      <c r="AM12" s="1"/>
      <c r="AN12" s="1"/>
      <c r="AO12" s="1"/>
      <c r="AP12" s="1"/>
      <c r="AQ12" s="1"/>
      <c r="AR12" s="1"/>
      <c r="AS12" s="1"/>
      <c r="AT12" s="1"/>
      <c r="AU12" s="1"/>
      <c r="AV12" s="1"/>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row>
    <row r="13" spans="1:114" x14ac:dyDescent="0.25">
      <c r="A13" s="22">
        <v>2040</v>
      </c>
      <c r="B13" s="27">
        <f>B12/(1+Parameters!$C$4)</f>
        <v>1.6968107115481548E-2</v>
      </c>
      <c r="C13" s="28">
        <f t="shared" si="3"/>
        <v>52.14599442216214</v>
      </c>
      <c r="D13" s="70">
        <f>Parameters!$C$19+(Parameters!$C$20*S13)</f>
        <v>0.10054853427276808</v>
      </c>
      <c r="E13" s="25">
        <f>($E$7/((1+Parameters!$C$8)^(A13-$A$7)))-Parameters!$C$9*Z13</f>
        <v>6.4038973026930776E-2</v>
      </c>
      <c r="F13" s="24">
        <f t="shared" si="9"/>
        <v>5.6848716289185148</v>
      </c>
      <c r="G13" s="116">
        <v>1689.8</v>
      </c>
      <c r="H13" s="14">
        <f>Parameters!L45</f>
        <v>96257.119268770577</v>
      </c>
      <c r="I13" s="14">
        <f>Parameters!M45</f>
        <v>106181.81549541383</v>
      </c>
      <c r="J13" s="14">
        <f>Parameters!N45</f>
        <v>27439.863428447017</v>
      </c>
      <c r="K13" s="14">
        <f>Parameters!O45</f>
        <v>3571.9863412520112</v>
      </c>
      <c r="L13" s="14">
        <f>'LCOE Sensitivity Analysis'!L87+Parameters!$C$26</f>
        <v>49.197600000000001</v>
      </c>
      <c r="M13" s="14">
        <f>'LCOE Sensitivity Analysis'!M87+Parameters!$C$26</f>
        <v>69.647599999999997</v>
      </c>
      <c r="N13" s="111">
        <f>Parameters!P45</f>
        <v>202438934.76418442</v>
      </c>
      <c r="O13" s="112">
        <f>((((((L13*H13)+(M13*I13))*Parameters!$C$24)/1000000)*N13)/1000000)-BAU!Q13</f>
        <v>1253.3088640402711</v>
      </c>
      <c r="P13" s="112">
        <f>(((L13*Parameters!L45)+(M13*Parameters!M45))*Parameters!$C$24)/1000000</f>
        <v>11.428547140519569</v>
      </c>
      <c r="Q13" s="39">
        <f>(H13+I13)/Parameters!B45</f>
        <v>0.63335278411401696</v>
      </c>
      <c r="R13" s="39">
        <f>Parameters!O45/Parameters!B45</f>
        <v>1.1175357629126659E-2</v>
      </c>
      <c r="S13" s="113">
        <f>(IF(Q13-BAU!N13 &lt; 0, 0, Q13-BAU!N13))+(IF(BAU!O13-R13 &lt; 0,  0, BAU!O13-R13))</f>
        <v>0.54853427276807509</v>
      </c>
      <c r="T13" s="39">
        <f t="shared" si="4"/>
        <v>0.54853427276807509</v>
      </c>
      <c r="U13" s="32">
        <f t="shared" si="7"/>
        <v>3.8956277973754054E-2</v>
      </c>
      <c r="V13" s="87">
        <f>U13*(T13^Parameters!$C$31)</f>
        <v>7.2501669264847567E-3</v>
      </c>
      <c r="W13" s="21">
        <f t="shared" si="5"/>
        <v>1.1175357629126659E-2</v>
      </c>
      <c r="X13" s="21">
        <f t="shared" si="8"/>
        <v>8.5255326627049346</v>
      </c>
      <c r="Y13" s="20">
        <f>Y12+(X13/Parameters!$C$12)</f>
        <v>1101.5966420250472</v>
      </c>
      <c r="Z13" s="23">
        <f>Y13*Parameters!$C$13</f>
        <v>1.982873955645085</v>
      </c>
      <c r="AA13" s="32">
        <f t="shared" si="6"/>
        <v>0.99069494583236284</v>
      </c>
      <c r="AB13" s="28">
        <f>((Parameters!$C$18*F13*AA13)/(D13+B13))^(1/(1-Parameters!$C$21))</f>
        <v>18.460245599591445</v>
      </c>
      <c r="AC13" s="24">
        <f>(1-V13)*AA13*F13*(AB13^Parameters!$C$21)</f>
        <v>17.947147091568603</v>
      </c>
      <c r="AD13" s="23">
        <f>(1-Parameters!$C$18)*AC13</f>
        <v>15.79348944058037</v>
      </c>
      <c r="AE13" s="30">
        <f t="shared" si="0"/>
        <v>2.7595977943898111</v>
      </c>
      <c r="AF13" s="23">
        <f>1/(1+Parameters!$C$22*(A13-$A$7))</f>
        <v>0.68965517241379315</v>
      </c>
      <c r="AG13" s="30">
        <f t="shared" si="1"/>
        <v>99.242738754249686</v>
      </c>
      <c r="AH13" s="30">
        <f>BAU!AF13</f>
        <v>18.731012679021322</v>
      </c>
      <c r="AI13" s="30">
        <f t="shared" si="2"/>
        <v>-40.875450551034376</v>
      </c>
      <c r="AJ13" s="4"/>
      <c r="AK13" s="4"/>
      <c r="AL13" s="4"/>
      <c r="AM13" s="1"/>
      <c r="AN13" s="1"/>
      <c r="AO13" s="1"/>
      <c r="AP13" s="1"/>
      <c r="AQ13" s="1"/>
      <c r="AR13" s="1"/>
      <c r="AS13" s="1"/>
      <c r="AT13" s="1"/>
      <c r="AU13" s="1"/>
      <c r="AV13" s="1"/>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row>
    <row r="14" spans="1:114" x14ac:dyDescent="0.25">
      <c r="A14" s="22">
        <v>2045</v>
      </c>
      <c r="B14" s="27">
        <f>B13/(1+Parameters!$C$4)</f>
        <v>1.6129379387339875E-2</v>
      </c>
      <c r="C14" s="28">
        <f t="shared" si="3"/>
        <v>52.987076949727296</v>
      </c>
      <c r="D14" s="70">
        <f>Parameters!$C$19+(Parameters!$C$20*S14)</f>
        <v>0.10059336998513606</v>
      </c>
      <c r="E14" s="25">
        <f>($E$7/((1+Parameters!$C$8)^(A14-$A$7)))-Parameters!$C$9*Z14</f>
        <v>6.2092157822509132E-2</v>
      </c>
      <c r="F14" s="24">
        <f t="shared" si="9"/>
        <v>6.037857575302028</v>
      </c>
      <c r="G14" s="116">
        <v>1814.7</v>
      </c>
      <c r="H14" s="14">
        <f>Parameters!L46</f>
        <v>107766.18953210938</v>
      </c>
      <c r="I14" s="14">
        <f>Parameters!M46</f>
        <v>113809.06760208489</v>
      </c>
      <c r="J14" s="14">
        <f>Parameters!N46</f>
        <v>25241.413944267126</v>
      </c>
      <c r="K14" s="14">
        <f>Parameters!O46</f>
        <v>1189.2898329207178</v>
      </c>
      <c r="L14" s="14">
        <f>'LCOE Sensitivity Analysis'!L88+Parameters!$C$26</f>
        <v>48.217950000000002</v>
      </c>
      <c r="M14" s="14">
        <f>'LCOE Sensitivity Analysis'!M88+Parameters!$C$26</f>
        <v>68.976599999999991</v>
      </c>
      <c r="N14" s="111">
        <f>Parameters!P46</f>
        <v>221575257.13419425</v>
      </c>
      <c r="O14" s="112">
        <f>((((((L14*H14)+(M14*I14))*Parameters!$C$24)/1000000)*N14)/1000000)-BAU!Q14</f>
        <v>1599.751215257251</v>
      </c>
      <c r="P14" s="112">
        <f>(((L14*Parameters!L46)+(M14*Parameters!M46))*Parameters!$C$24)/1000000</f>
        <v>12.291039131925954</v>
      </c>
      <c r="Q14" s="39">
        <f>(H14+I14)/Parameters!B46</f>
        <v>0.67806756225057607</v>
      </c>
      <c r="R14" s="39">
        <f>Parameters!O46/Parameters!B46</f>
        <v>3.6394806362767692E-3</v>
      </c>
      <c r="S14" s="113">
        <f>(IF(Q14-BAU!N14 &lt; 0, 0, Q14-BAU!N14))+(IF(BAU!O14-R14 &lt; 0,  0, BAU!O14-R14))</f>
        <v>0.59336998513605632</v>
      </c>
      <c r="T14" s="39">
        <f t="shared" si="4"/>
        <v>0.59336998513605632</v>
      </c>
      <c r="U14" s="32">
        <f t="shared" si="7"/>
        <v>3.653739861363018E-2</v>
      </c>
      <c r="V14" s="87">
        <f>U14*(T14^Parameters!$C$31)</f>
        <v>8.4732346067323775E-3</v>
      </c>
      <c r="W14" s="21">
        <f t="shared" si="5"/>
        <v>3.6394806362767692E-3</v>
      </c>
      <c r="X14" s="21">
        <f t="shared" si="8"/>
        <v>2.6856145717660902</v>
      </c>
      <c r="Y14" s="20">
        <f>Y13+(X14/Parameters!$C$12)</f>
        <v>1102.3290823628017</v>
      </c>
      <c r="Z14" s="23">
        <f>Y14*Parameters!$C$13</f>
        <v>1.984192348253043</v>
      </c>
      <c r="AA14" s="32">
        <f t="shared" si="6"/>
        <v>0.99068268337588639</v>
      </c>
      <c r="AB14" s="28">
        <f>((Parameters!$C$18*F14*AA14)/(D14+B14))^(1/(1-Parameters!$C$21))</f>
        <v>20.641374938343258</v>
      </c>
      <c r="AC14" s="24">
        <f>(1-V14)*AA14*F14*(AB14^Parameters!$C$21)</f>
        <v>19.90752763908629</v>
      </c>
      <c r="AD14" s="23">
        <f>(1-Parameters!$C$18)*AC14</f>
        <v>17.518624322395937</v>
      </c>
      <c r="AE14" s="30">
        <f t="shared" si="0"/>
        <v>2.8632645620141655</v>
      </c>
      <c r="AF14" s="23">
        <f>1/(1+Parameters!$C$22*(A14-$A$7))</f>
        <v>0.65573770491803285</v>
      </c>
      <c r="AG14" s="30">
        <f t="shared" si="1"/>
        <v>99.485914540899557</v>
      </c>
      <c r="AH14" s="30">
        <f>BAU!AF14</f>
        <v>20.873702061172605</v>
      </c>
      <c r="AI14" s="30">
        <f t="shared" si="2"/>
        <v>-51.194758449945866</v>
      </c>
      <c r="AJ14" s="4"/>
      <c r="AK14" s="4"/>
      <c r="AL14" s="4"/>
      <c r="AM14" s="1"/>
      <c r="AN14" s="1"/>
      <c r="AO14" s="1"/>
      <c r="AP14" s="1"/>
      <c r="AQ14" s="1"/>
      <c r="AR14" s="1"/>
      <c r="AS14" s="1"/>
      <c r="AT14" s="1"/>
      <c r="AU14" s="1"/>
      <c r="AV14" s="1"/>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row>
    <row r="15" spans="1:114" x14ac:dyDescent="0.25">
      <c r="A15" s="22">
        <v>2050</v>
      </c>
      <c r="B15" s="27">
        <f>B14/(1+Parameters!$C$4)</f>
        <v>1.533210968378315E-2</v>
      </c>
      <c r="C15" s="28">
        <f t="shared" si="3"/>
        <v>53.79948062534357</v>
      </c>
      <c r="D15" s="70">
        <f>Parameters!$C$19+(Parameters!$C$20*S15)</f>
        <v>0.10057614349677621</v>
      </c>
      <c r="E15" s="25">
        <f>($E$7/((1+Parameters!$C$8)^(A15-$A$7)))-Parameters!$C$9*Z15</f>
        <v>6.0202515749192172E-2</v>
      </c>
      <c r="F15" s="24">
        <f>F14*(1+E15)</f>
        <v>6.4013517910705273</v>
      </c>
      <c r="G15" s="116">
        <v>1946.6</v>
      </c>
      <c r="H15" s="14">
        <f>Parameters!L47</f>
        <v>110418.46191721087</v>
      </c>
      <c r="I15" s="14">
        <f>Parameters!M47</f>
        <v>116610.06342912228</v>
      </c>
      <c r="J15" s="14">
        <f>Parameters!N47</f>
        <v>25862.639446031277</v>
      </c>
      <c r="K15" s="14">
        <f>Parameters!O47</f>
        <v>1218.559872025123</v>
      </c>
      <c r="L15" s="14">
        <f>'LCOE Sensitivity Analysis'!L89+Parameters!$C$26</f>
        <v>47.258872650000001</v>
      </c>
      <c r="M15" s="14">
        <f>'LCOE Sensitivity Analysis'!M89+Parameters!$C$26</f>
        <v>68.312309999999997</v>
      </c>
      <c r="N15" s="111">
        <f>Parameters!P47</f>
        <v>227028525.34633315</v>
      </c>
      <c r="O15" s="112">
        <f>((((((L15*H15)+(M15*I15))*Parameters!$C$24)/1000000)*N15)/1000000)-BAU!Q15</f>
        <v>1591.3749117759039</v>
      </c>
      <c r="P15" s="112">
        <f>(((L15*Parameters!L47)+(M15*Parameters!M47))*Parameters!$C$24)/1000000</f>
        <v>12.420792267268848</v>
      </c>
      <c r="Q15" s="39">
        <f>(H15+I15)/Parameters!B47</f>
        <v>0.67806756225057618</v>
      </c>
      <c r="R15" s="39">
        <f>Parameters!O47/Parameters!B47</f>
        <v>3.6394806362767692E-3</v>
      </c>
      <c r="S15" s="113">
        <f>(IF(Q15-BAU!N15 &lt; 0, 0, Q15-BAU!N15))+(IF(BAU!O15-R15 &lt; 0,  0, BAU!O15-R15))</f>
        <v>0.57614349677620136</v>
      </c>
      <c r="T15" s="39">
        <f t="shared" si="4"/>
        <v>0.57614349677620136</v>
      </c>
      <c r="U15" s="32">
        <f t="shared" si="7"/>
        <v>3.4337755298158593E-2</v>
      </c>
      <c r="V15" s="87">
        <f>U15*(T15^Parameters!$C$31)</f>
        <v>7.3325960577526241E-3</v>
      </c>
      <c r="W15" s="21">
        <f t="shared" si="5"/>
        <v>3.6394806362767692E-3</v>
      </c>
      <c r="X15" s="21">
        <f t="shared" si="8"/>
        <v>3.0028592956612981</v>
      </c>
      <c r="Y15" s="20">
        <f>Y14+(X15/Parameters!$C$12)</f>
        <v>1103.1480439888912</v>
      </c>
      <c r="Z15" s="23">
        <f>Y15*Parameters!$C$13</f>
        <v>1.9856664791800041</v>
      </c>
      <c r="AA15" s="32">
        <f t="shared" si="6"/>
        <v>0.99066896309536634</v>
      </c>
      <c r="AB15" s="28">
        <f>((Parameters!$C$18*F15*AA15)/(D15+B15))^(1/(1-Parameters!$C$21))</f>
        <v>23.020348570152979</v>
      </c>
      <c r="AC15" s="24">
        <f>(1-V15)*AA15*F15*(AB15^Parameters!$C$21)</f>
        <v>22.072360022880481</v>
      </c>
      <c r="AD15" s="23">
        <f>(1-Parameters!$C$18)*AC15</f>
        <v>19.423676820134823</v>
      </c>
      <c r="AE15" s="30">
        <f t="shared" si="0"/>
        <v>2.9664927765660414</v>
      </c>
      <c r="AF15" s="23">
        <f>1/(1+Parameters!$C$22*(A15-$A$7))</f>
        <v>0.625</v>
      </c>
      <c r="AG15" s="30">
        <f t="shared" si="1"/>
        <v>99.747356661303996</v>
      </c>
      <c r="AH15" s="30">
        <f>BAU!AF15</f>
        <v>23.187993404994479</v>
      </c>
      <c r="AI15" s="30">
        <f t="shared" si="2"/>
        <v>-60.020496526028559</v>
      </c>
      <c r="AJ15" s="4"/>
      <c r="AK15" s="4"/>
      <c r="AL15" s="4"/>
      <c r="AM15" s="1"/>
      <c r="AN15" s="1"/>
      <c r="AO15" s="1"/>
      <c r="AP15" s="1"/>
      <c r="AQ15" s="1"/>
      <c r="AR15" s="1"/>
      <c r="AS15" s="1"/>
      <c r="AT15" s="1"/>
      <c r="AU15" s="1"/>
      <c r="AV15" s="1"/>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row>
    <row r="16" spans="1:114" ht="127.5" customHeight="1" x14ac:dyDescent="0.25">
      <c r="A16" s="3"/>
      <c r="B16" s="4"/>
      <c r="C16" s="4"/>
      <c r="D16" s="4"/>
      <c r="E16" s="4"/>
      <c r="F16" s="4"/>
      <c r="G16" s="4"/>
      <c r="H16" s="4"/>
      <c r="I16" s="4"/>
      <c r="J16" s="4"/>
      <c r="K16" s="4"/>
      <c r="L16" s="182" t="s">
        <v>340</v>
      </c>
      <c r="M16" s="183"/>
      <c r="N16" s="183"/>
      <c r="O16" s="4"/>
      <c r="P16" s="4"/>
      <c r="Q16" s="4"/>
      <c r="R16" s="4"/>
      <c r="S16" s="4"/>
      <c r="T16" s="4"/>
      <c r="U16" s="4"/>
      <c r="V16" s="4"/>
      <c r="W16" s="4"/>
      <c r="X16" s="4"/>
      <c r="Y16" s="4"/>
      <c r="Z16" s="4"/>
      <c r="AA16" s="4"/>
      <c r="AB16" s="4"/>
      <c r="AC16" s="4"/>
      <c r="AD16" s="7"/>
      <c r="AE16" s="7"/>
      <c r="AF16" s="33" t="s">
        <v>78</v>
      </c>
      <c r="AG16" s="88">
        <f>SUM(AG7:AG15)</f>
        <v>885.91949427491204</v>
      </c>
      <c r="AH16" s="108"/>
      <c r="AI16" s="76"/>
      <c r="AJ16" s="4"/>
      <c r="AK16" s="4"/>
      <c r="AL16" s="4"/>
      <c r="AM16" s="1"/>
      <c r="AN16" s="1"/>
      <c r="AO16" s="1"/>
      <c r="AP16" s="1"/>
      <c r="AQ16" s="1"/>
      <c r="AR16" s="1"/>
      <c r="AS16" s="1"/>
      <c r="AT16" s="1"/>
      <c r="AU16" s="1"/>
      <c r="AV16" s="1"/>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row>
    <row r="17" spans="1:114" x14ac:dyDescent="0.2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7"/>
      <c r="AE17" s="7"/>
      <c r="AF17" s="4"/>
      <c r="AG17" s="4"/>
      <c r="AH17" s="4"/>
      <c r="AI17" s="4"/>
      <c r="AJ17" s="4"/>
      <c r="AK17" s="4"/>
      <c r="AL17" s="4"/>
      <c r="AM17" s="1"/>
      <c r="AN17" s="1"/>
      <c r="AO17" s="1"/>
      <c r="AP17" s="1"/>
      <c r="AQ17" s="1"/>
      <c r="AR17" s="1"/>
      <c r="AS17" s="1"/>
      <c r="AT17" s="1"/>
      <c r="AU17" s="1"/>
      <c r="AV17" s="1"/>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row>
    <row r="18" spans="1:114" x14ac:dyDescent="0.2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7"/>
      <c r="AE18" s="7"/>
      <c r="AF18" s="4"/>
      <c r="AG18" s="4"/>
      <c r="AH18" s="4"/>
      <c r="AI18" s="4"/>
      <c r="AJ18" s="4"/>
      <c r="AK18" s="4"/>
      <c r="AL18" s="4"/>
      <c r="AM18" s="1"/>
      <c r="AN18" s="1"/>
      <c r="AO18" s="1"/>
      <c r="AP18" s="1"/>
      <c r="AQ18" s="1"/>
      <c r="AR18" s="1"/>
      <c r="AS18" s="1"/>
      <c r="AT18" s="1"/>
      <c r="AU18" s="1"/>
      <c r="AV18" s="1"/>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row>
    <row r="19" spans="1:114" x14ac:dyDescent="0.25">
      <c r="A19" s="3"/>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7"/>
      <c r="AE19" s="7"/>
      <c r="AF19" s="4"/>
      <c r="AG19" s="4"/>
      <c r="AH19" s="4"/>
      <c r="AI19" s="4"/>
      <c r="AJ19" s="4"/>
      <c r="AK19" s="4"/>
      <c r="AL19" s="4"/>
      <c r="AM19" s="1"/>
      <c r="AN19" s="1"/>
      <c r="AO19" s="1"/>
      <c r="AP19" s="1"/>
      <c r="AQ19" s="1"/>
      <c r="AR19" s="1"/>
      <c r="AS19" s="1"/>
      <c r="AT19" s="1"/>
      <c r="AU19" s="1"/>
      <c r="AV19" s="1"/>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row>
    <row r="20" spans="1:114" x14ac:dyDescent="0.25">
      <c r="A20" s="3"/>
      <c r="B20" s="4"/>
      <c r="C20" s="4"/>
      <c r="D20" s="4"/>
      <c r="E20" s="4"/>
      <c r="F20" s="4"/>
      <c r="G20" s="4"/>
      <c r="H20" s="4"/>
      <c r="I20" s="4"/>
      <c r="J20" s="4"/>
      <c r="K20" s="4"/>
      <c r="L20" s="4"/>
      <c r="M20" s="4"/>
      <c r="N20" s="4"/>
      <c r="O20" s="4"/>
      <c r="P20" s="4"/>
      <c r="Q20" s="4"/>
      <c r="R20" s="4" t="s">
        <v>117</v>
      </c>
      <c r="S20" s="4"/>
      <c r="T20" s="4"/>
      <c r="U20" s="4"/>
      <c r="V20" s="4"/>
      <c r="W20" s="4"/>
      <c r="X20" s="4"/>
      <c r="Y20" s="4"/>
      <c r="Z20" s="4"/>
      <c r="AA20" s="4"/>
      <c r="AB20" s="4"/>
      <c r="AC20" s="4"/>
      <c r="AD20" s="7"/>
      <c r="AE20" s="7"/>
      <c r="AF20" s="4"/>
      <c r="AG20" s="4"/>
      <c r="AH20" s="4"/>
      <c r="AI20" s="4"/>
      <c r="AJ20" s="4"/>
      <c r="AK20" s="4"/>
      <c r="AL20" s="4"/>
      <c r="AM20" s="1"/>
      <c r="AN20" s="1"/>
      <c r="AO20" s="1"/>
      <c r="AP20" s="1"/>
      <c r="AQ20" s="1"/>
      <c r="AR20" s="1"/>
      <c r="AS20" s="1"/>
      <c r="AT20" s="1"/>
      <c r="AU20" s="1"/>
      <c r="AV20" s="1"/>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row>
    <row r="21" spans="1:114" x14ac:dyDescent="0.25">
      <c r="A21" s="3"/>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7"/>
      <c r="AE21" s="7"/>
      <c r="AF21" s="4"/>
      <c r="AG21" s="4"/>
      <c r="AH21" s="4"/>
      <c r="AI21" s="4"/>
      <c r="AJ21" s="4"/>
      <c r="AK21" s="4"/>
      <c r="AL21" s="4"/>
      <c r="AM21" s="1"/>
      <c r="AN21" s="1"/>
      <c r="AO21" s="1"/>
      <c r="AP21" s="1"/>
      <c r="AQ21" s="1"/>
      <c r="AR21" s="1"/>
      <c r="AS21" s="1"/>
      <c r="AT21" s="1"/>
      <c r="AU21" s="1"/>
      <c r="AV21" s="1"/>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row>
    <row r="22" spans="1:114" x14ac:dyDescent="0.25">
      <c r="A22" s="3"/>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7"/>
      <c r="AE22" s="7"/>
      <c r="AF22" s="4"/>
      <c r="AG22" s="4"/>
      <c r="AH22" s="4"/>
      <c r="AI22" s="4"/>
      <c r="AJ22" s="4"/>
      <c r="AK22" s="4"/>
      <c r="AL22" s="4"/>
      <c r="AM22" s="1"/>
      <c r="AN22" s="1"/>
      <c r="AO22" s="1"/>
      <c r="AP22" s="1"/>
      <c r="AQ22" s="1"/>
      <c r="AR22" s="1"/>
      <c r="AS22" s="1"/>
      <c r="AT22" s="1"/>
      <c r="AU22" s="1"/>
      <c r="AV22" s="1"/>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row>
    <row r="23" spans="1:114" x14ac:dyDescent="0.25">
      <c r="A23" s="3"/>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7"/>
      <c r="AE23" s="7"/>
      <c r="AF23" s="4"/>
      <c r="AG23" s="4"/>
      <c r="AH23" s="4"/>
      <c r="AI23" s="4"/>
      <c r="AJ23" s="4"/>
      <c r="AK23" s="4"/>
      <c r="AL23" s="4"/>
      <c r="AM23" s="1"/>
      <c r="AN23" s="1"/>
      <c r="AO23" s="1"/>
      <c r="AP23" s="1"/>
      <c r="AQ23" s="1"/>
      <c r="AR23" s="1"/>
      <c r="AS23" s="1"/>
      <c r="AT23" s="1"/>
      <c r="AU23" s="1"/>
      <c r="AV23" s="1"/>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row>
    <row r="24" spans="1:114" x14ac:dyDescent="0.25">
      <c r="A24" s="3"/>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7"/>
      <c r="AE24" s="7"/>
      <c r="AF24" s="4"/>
      <c r="AG24" s="4"/>
      <c r="AH24" s="4"/>
      <c r="AI24" s="4"/>
      <c r="AJ24" s="4"/>
      <c r="AK24" s="4"/>
      <c r="AL24" s="4"/>
      <c r="AM24" s="1"/>
      <c r="AN24" s="1"/>
      <c r="AO24" s="1"/>
      <c r="AP24" s="1"/>
      <c r="AQ24" s="1"/>
      <c r="AR24" s="1"/>
      <c r="AS24" s="1"/>
      <c r="AT24" s="1"/>
      <c r="AU24" s="1"/>
      <c r="AV24" s="1"/>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row>
    <row r="25" spans="1:114" x14ac:dyDescent="0.25">
      <c r="A25" s="3"/>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7"/>
      <c r="AE25" s="7"/>
      <c r="AF25" s="4"/>
      <c r="AG25" s="4"/>
      <c r="AH25" s="4"/>
      <c r="AI25" s="4"/>
      <c r="AJ25" s="4"/>
      <c r="AK25" s="4"/>
      <c r="AL25" s="4"/>
      <c r="AM25" s="1"/>
      <c r="AN25" s="1"/>
      <c r="AO25" s="1"/>
      <c r="AP25" s="1"/>
      <c r="AQ25" s="1"/>
      <c r="AR25" s="1"/>
      <c r="AS25" s="1"/>
      <c r="AT25" s="1"/>
      <c r="AU25" s="1"/>
      <c r="AV25" s="1"/>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row>
    <row r="26" spans="1:114" x14ac:dyDescent="0.25">
      <c r="A26" s="3"/>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7"/>
      <c r="AE26" s="7"/>
      <c r="AF26" s="4"/>
      <c r="AG26" s="4"/>
      <c r="AH26" s="4"/>
      <c r="AI26" s="4"/>
      <c r="AJ26" s="4"/>
      <c r="AK26" s="4"/>
      <c r="AL26" s="4"/>
      <c r="AM26" s="1"/>
      <c r="AN26" s="1"/>
      <c r="AO26" s="1"/>
      <c r="AP26" s="1"/>
      <c r="AQ26" s="1"/>
      <c r="AR26" s="1"/>
      <c r="AS26" s="1"/>
      <c r="AT26" s="1"/>
      <c r="AU26" s="1"/>
      <c r="AV26" s="1"/>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row>
    <row r="27" spans="1:114" x14ac:dyDescent="0.25">
      <c r="A27" s="3"/>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7"/>
      <c r="AE27" s="7"/>
      <c r="AF27" s="4"/>
      <c r="AG27" s="4"/>
      <c r="AH27" s="4"/>
      <c r="AI27" s="4"/>
      <c r="AJ27" s="4"/>
      <c r="AK27" s="4"/>
      <c r="AL27" s="4"/>
      <c r="AM27" s="1"/>
      <c r="AN27" s="1"/>
      <c r="AO27" s="1"/>
      <c r="AP27" s="1"/>
      <c r="AQ27" s="1"/>
      <c r="AR27" s="1"/>
      <c r="AS27" s="1"/>
      <c r="AT27" s="1"/>
      <c r="AU27" s="1"/>
      <c r="AV27" s="1"/>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row>
    <row r="28" spans="1:114" x14ac:dyDescent="0.25">
      <c r="A28" s="3"/>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7"/>
      <c r="AE28" s="7"/>
      <c r="AF28" s="4"/>
      <c r="AG28" s="4"/>
      <c r="AH28" s="4"/>
      <c r="AI28" s="4"/>
      <c r="AJ28" s="4"/>
      <c r="AK28" s="4"/>
      <c r="AL28" s="4"/>
      <c r="AM28" s="1"/>
      <c r="AN28" s="1"/>
      <c r="AO28" s="1"/>
      <c r="AP28" s="1"/>
      <c r="AQ28" s="1"/>
      <c r="AR28" s="1"/>
      <c r="AS28" s="1"/>
      <c r="AT28" s="1"/>
      <c r="AU28" s="1"/>
      <c r="AV28" s="1"/>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row>
    <row r="29" spans="1:114" x14ac:dyDescent="0.25">
      <c r="A29" s="3"/>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7"/>
      <c r="AE29" s="7"/>
      <c r="AF29" s="4"/>
      <c r="AG29" s="4"/>
      <c r="AH29" s="4"/>
      <c r="AI29" s="4"/>
      <c r="AJ29" s="4"/>
      <c r="AK29" s="4"/>
      <c r="AL29" s="4"/>
      <c r="AM29" s="1"/>
      <c r="AN29" s="1"/>
      <c r="AO29" s="1"/>
      <c r="AP29" s="1"/>
      <c r="AQ29" s="1"/>
      <c r="AR29" s="1"/>
      <c r="AS29" s="1"/>
      <c r="AT29" s="1"/>
      <c r="AU29" s="1"/>
      <c r="AV29" s="1"/>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row>
    <row r="30" spans="1:114" x14ac:dyDescent="0.25">
      <c r="A30" s="3"/>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7"/>
      <c r="AE30" s="7"/>
      <c r="AF30" s="4"/>
      <c r="AG30" s="4"/>
      <c r="AH30" s="4"/>
      <c r="AI30" s="4"/>
      <c r="AJ30" s="4"/>
      <c r="AK30" s="4"/>
      <c r="AL30" s="4"/>
      <c r="AM30" s="1"/>
      <c r="AN30" s="1"/>
      <c r="AO30" s="1"/>
      <c r="AP30" s="1"/>
      <c r="AQ30" s="1"/>
      <c r="AR30" s="1"/>
      <c r="AS30" s="1"/>
      <c r="AT30" s="1"/>
      <c r="AU30" s="1"/>
      <c r="AV30" s="1"/>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row>
    <row r="31" spans="1:114" x14ac:dyDescent="0.25">
      <c r="A31" s="3"/>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7"/>
      <c r="AE31" s="7"/>
      <c r="AF31" s="4"/>
      <c r="AG31" s="4"/>
      <c r="AH31" s="4"/>
      <c r="AI31" s="4"/>
      <c r="AJ31" s="4"/>
      <c r="AK31" s="4"/>
      <c r="AL31" s="4"/>
      <c r="AM31" s="1"/>
      <c r="AN31" s="1"/>
      <c r="AO31" s="1"/>
      <c r="AP31" s="1"/>
      <c r="AQ31" s="1"/>
      <c r="AR31" s="1"/>
      <c r="AS31" s="1"/>
      <c r="AT31" s="1"/>
      <c r="AU31" s="1"/>
      <c r="AV31" s="1"/>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row>
    <row r="32" spans="1:114" x14ac:dyDescent="0.25">
      <c r="A32" s="3"/>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7"/>
      <c r="AE32" s="7"/>
      <c r="AF32" s="4"/>
      <c r="AG32" s="4"/>
      <c r="AH32" s="4"/>
      <c r="AI32" s="4"/>
      <c r="AJ32" s="4"/>
      <c r="AK32" s="4"/>
      <c r="AL32" s="4"/>
      <c r="AM32" s="1"/>
      <c r="AN32" s="1"/>
      <c r="AO32" s="1"/>
      <c r="AP32" s="1"/>
      <c r="AQ32" s="1"/>
      <c r="AR32" s="1"/>
      <c r="AS32" s="1"/>
      <c r="AT32" s="1"/>
      <c r="AU32" s="1"/>
      <c r="AV32" s="1"/>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row>
    <row r="33" spans="1:114" x14ac:dyDescent="0.25">
      <c r="A33" s="3"/>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7"/>
      <c r="AE33" s="7"/>
      <c r="AF33" s="4"/>
      <c r="AG33" s="4"/>
      <c r="AH33" s="4"/>
      <c r="AI33" s="4"/>
      <c r="AJ33" s="4"/>
      <c r="AK33" s="4"/>
      <c r="AL33" s="4"/>
      <c r="AM33" s="1"/>
      <c r="AN33" s="1"/>
      <c r="AO33" s="1"/>
      <c r="AP33" s="1"/>
      <c r="AQ33" s="1"/>
      <c r="AR33" s="1"/>
      <c r="AS33" s="1"/>
      <c r="AT33" s="1"/>
      <c r="AU33" s="1"/>
      <c r="AV33" s="1"/>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row>
    <row r="34" spans="1:114" x14ac:dyDescent="0.25">
      <c r="A34" s="3"/>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7"/>
      <c r="AE34" s="7"/>
      <c r="AF34" s="4"/>
      <c r="AG34" s="4"/>
      <c r="AH34" s="4"/>
      <c r="AI34" s="4"/>
      <c r="AJ34" s="4"/>
      <c r="AK34" s="4"/>
      <c r="AL34" s="4"/>
      <c r="AM34" s="1"/>
      <c r="AN34" s="1"/>
      <c r="AO34" s="1"/>
      <c r="AP34" s="1"/>
      <c r="AQ34" s="1"/>
      <c r="AR34" s="1"/>
      <c r="AS34" s="1"/>
      <c r="AT34" s="1"/>
      <c r="AU34" s="1"/>
      <c r="AV34" s="1"/>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row>
    <row r="35" spans="1:114" x14ac:dyDescent="0.25">
      <c r="A35" s="3"/>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7"/>
      <c r="AE35" s="7"/>
      <c r="AF35" s="4"/>
      <c r="AG35" s="4"/>
      <c r="AH35" s="4"/>
      <c r="AI35" s="4"/>
      <c r="AJ35" s="4"/>
      <c r="AK35" s="4"/>
      <c r="AL35" s="4"/>
      <c r="AM35" s="1"/>
      <c r="AN35" s="1"/>
      <c r="AO35" s="1"/>
      <c r="AP35" s="1"/>
      <c r="AQ35" s="1"/>
      <c r="AR35" s="1"/>
      <c r="AS35" s="1"/>
      <c r="AT35" s="1"/>
      <c r="AU35" s="1"/>
      <c r="AV35" s="1"/>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row>
    <row r="36" spans="1:114" x14ac:dyDescent="0.25">
      <c r="A36" s="3"/>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7"/>
      <c r="AE36" s="7"/>
      <c r="AF36" s="4"/>
      <c r="AG36" s="4"/>
      <c r="AH36" s="4"/>
      <c r="AI36" s="4"/>
      <c r="AJ36" s="4"/>
      <c r="AK36" s="4"/>
      <c r="AL36" s="4"/>
      <c r="AM36" s="1"/>
      <c r="AN36" s="1"/>
      <c r="AO36" s="1"/>
      <c r="AP36" s="1"/>
      <c r="AQ36" s="1"/>
      <c r="AR36" s="1"/>
      <c r="AS36" s="1"/>
      <c r="AT36" s="1"/>
      <c r="AU36" s="1"/>
      <c r="AV36" s="1"/>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row>
    <row r="37" spans="1:114" x14ac:dyDescent="0.25">
      <c r="A37" s="3"/>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7"/>
      <c r="AE37" s="7"/>
      <c r="AF37" s="4"/>
      <c r="AG37" s="4"/>
      <c r="AH37" s="4"/>
      <c r="AI37" s="4"/>
      <c r="AJ37" s="4"/>
      <c r="AK37" s="4"/>
      <c r="AL37" s="4"/>
      <c r="AM37" s="1"/>
      <c r="AN37" s="1"/>
      <c r="AO37" s="1"/>
      <c r="AP37" s="1"/>
      <c r="AQ37" s="1"/>
      <c r="AR37" s="1"/>
      <c r="AS37" s="1"/>
      <c r="AT37" s="1"/>
      <c r="AU37" s="1"/>
      <c r="AV37" s="1"/>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row>
    <row r="38" spans="1:114" x14ac:dyDescent="0.25">
      <c r="A38" s="3"/>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7"/>
      <c r="AE38" s="7"/>
      <c r="AF38" s="4"/>
      <c r="AG38" s="4"/>
      <c r="AH38" s="4"/>
      <c r="AI38" s="4"/>
      <c r="AJ38" s="4"/>
      <c r="AK38" s="4"/>
      <c r="AL38" s="4"/>
      <c r="AM38" s="1"/>
      <c r="AN38" s="1"/>
      <c r="AO38" s="1"/>
      <c r="AP38" s="1"/>
      <c r="AQ38" s="1"/>
      <c r="AR38" s="1"/>
      <c r="AS38" s="1"/>
      <c r="AT38" s="1"/>
      <c r="AU38" s="1"/>
      <c r="AV38" s="1"/>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row>
    <row r="39" spans="1:114" x14ac:dyDescent="0.25">
      <c r="A39" s="3"/>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7"/>
      <c r="AE39" s="7"/>
      <c r="AF39" s="4"/>
      <c r="AG39" s="4"/>
      <c r="AH39" s="4"/>
      <c r="AI39" s="4"/>
      <c r="AJ39" s="4"/>
      <c r="AK39" s="4"/>
      <c r="AL39" s="4"/>
      <c r="AM39" s="1"/>
      <c r="AN39" s="1"/>
      <c r="AO39" s="1"/>
      <c r="AP39" s="1"/>
      <c r="AQ39" s="1"/>
      <c r="AR39" s="1"/>
      <c r="AS39" s="1"/>
      <c r="AT39" s="1"/>
      <c r="AU39" s="1"/>
      <c r="AV39" s="1"/>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row>
    <row r="40" spans="1:114" x14ac:dyDescent="0.25">
      <c r="A40" s="3"/>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7"/>
      <c r="AE40" s="7"/>
      <c r="AF40" s="4"/>
      <c r="AG40" s="4"/>
      <c r="AH40" s="4"/>
      <c r="AI40" s="4"/>
      <c r="AJ40" s="4"/>
      <c r="AK40" s="4"/>
      <c r="AL40" s="4"/>
      <c r="AM40" s="1"/>
      <c r="AN40" s="1"/>
      <c r="AO40" s="1"/>
      <c r="AP40" s="1"/>
      <c r="AQ40" s="1"/>
      <c r="AR40" s="1"/>
      <c r="AS40" s="1"/>
      <c r="AT40" s="1"/>
      <c r="AU40" s="1"/>
      <c r="AV40" s="1"/>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row>
    <row r="41" spans="1:114" x14ac:dyDescent="0.25">
      <c r="A41" s="3"/>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7"/>
      <c r="AE41" s="7"/>
      <c r="AF41" s="4"/>
      <c r="AG41" s="4"/>
      <c r="AH41" s="4"/>
      <c r="AI41" s="4"/>
      <c r="AJ41" s="4"/>
      <c r="AK41" s="4"/>
      <c r="AL41" s="4"/>
      <c r="AM41" s="1"/>
      <c r="AN41" s="1"/>
      <c r="AO41" s="1"/>
      <c r="AP41" s="1"/>
      <c r="AQ41" s="1"/>
      <c r="AR41" s="1"/>
      <c r="AS41" s="1"/>
      <c r="AT41" s="1"/>
      <c r="AU41" s="1"/>
      <c r="AV41" s="1"/>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row>
    <row r="42" spans="1:114" x14ac:dyDescent="0.25">
      <c r="A42" s="3"/>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7"/>
      <c r="AE42" s="7"/>
      <c r="AF42" s="4"/>
      <c r="AG42" s="4"/>
      <c r="AH42" s="4"/>
      <c r="AI42" s="4"/>
      <c r="AJ42" s="4"/>
      <c r="AK42" s="4"/>
      <c r="AL42" s="4"/>
      <c r="AM42" s="1"/>
      <c r="AN42" s="1"/>
      <c r="AO42" s="1"/>
      <c r="AP42" s="1"/>
      <c r="AQ42" s="1"/>
      <c r="AR42" s="1"/>
      <c r="AS42" s="1"/>
      <c r="AT42" s="1"/>
      <c r="AU42" s="1"/>
      <c r="AV42" s="1"/>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row>
    <row r="43" spans="1:114" x14ac:dyDescent="0.25">
      <c r="A43" s="3"/>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7"/>
      <c r="AE43" s="7"/>
      <c r="AF43" s="4"/>
      <c r="AG43" s="4"/>
      <c r="AH43" s="4"/>
      <c r="AI43" s="4"/>
      <c r="AJ43" s="4"/>
      <c r="AK43" s="4"/>
      <c r="AL43" s="4"/>
      <c r="AM43" s="1"/>
      <c r="AN43" s="1"/>
      <c r="AO43" s="1"/>
      <c r="AP43" s="1"/>
      <c r="AQ43" s="1"/>
      <c r="AR43" s="1"/>
      <c r="AS43" s="1"/>
      <c r="AT43" s="1"/>
      <c r="AU43" s="1"/>
      <c r="AV43" s="1"/>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row>
    <row r="44" spans="1:114" x14ac:dyDescent="0.25">
      <c r="A44" s="3"/>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7"/>
      <c r="AE44" s="7"/>
      <c r="AF44" s="4"/>
      <c r="AG44" s="4"/>
      <c r="AH44" s="4"/>
      <c r="AI44" s="4"/>
      <c r="AJ44" s="4"/>
      <c r="AK44" s="4"/>
      <c r="AL44" s="4"/>
      <c r="AM44" s="1"/>
      <c r="AN44" s="1"/>
      <c r="AO44" s="1"/>
      <c r="AP44" s="1"/>
      <c r="AQ44" s="1"/>
      <c r="AR44" s="1"/>
      <c r="AS44" s="1"/>
      <c r="AT44" s="1"/>
      <c r="AU44" s="1"/>
      <c r="AV44" s="1"/>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row>
    <row r="45" spans="1:114" x14ac:dyDescent="0.25">
      <c r="A45" s="3"/>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7"/>
      <c r="AE45" s="7"/>
      <c r="AF45" s="4"/>
      <c r="AG45" s="4"/>
      <c r="AH45" s="4"/>
      <c r="AI45" s="4"/>
      <c r="AJ45" s="4"/>
      <c r="AK45" s="4"/>
      <c r="AL45" s="4"/>
      <c r="AM45" s="1"/>
      <c r="AN45" s="1"/>
      <c r="AO45" s="1"/>
      <c r="AP45" s="1"/>
      <c r="AQ45" s="1"/>
      <c r="AR45" s="1"/>
      <c r="AS45" s="1"/>
      <c r="AT45" s="1"/>
      <c r="AU45" s="1"/>
      <c r="AV45" s="1"/>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row>
    <row r="46" spans="1:114" x14ac:dyDescent="0.25">
      <c r="A46" s="3"/>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7"/>
      <c r="AE46" s="7"/>
      <c r="AF46" s="4"/>
      <c r="AG46" s="4"/>
      <c r="AH46" s="4"/>
      <c r="AI46" s="4"/>
      <c r="AJ46" s="4"/>
      <c r="AK46" s="4"/>
      <c r="AL46" s="4"/>
      <c r="AM46" s="1"/>
      <c r="AN46" s="1"/>
      <c r="AO46" s="1"/>
      <c r="AP46" s="1"/>
      <c r="AQ46" s="1"/>
      <c r="AR46" s="1"/>
      <c r="AS46" s="1"/>
      <c r="AT46" s="1"/>
      <c r="AU46" s="1"/>
      <c r="AV46" s="1"/>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row>
    <row r="47" spans="1:114" x14ac:dyDescent="0.25">
      <c r="A47" s="3"/>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7"/>
      <c r="AE47" s="7"/>
      <c r="AF47" s="4"/>
      <c r="AG47" s="4"/>
      <c r="AH47" s="4"/>
      <c r="AI47" s="4"/>
      <c r="AJ47" s="4"/>
      <c r="AK47" s="4"/>
      <c r="AL47" s="4"/>
      <c r="AM47" s="1"/>
      <c r="AN47" s="1"/>
      <c r="AO47" s="1"/>
      <c r="AP47" s="1"/>
      <c r="AQ47" s="1"/>
      <c r="AR47" s="1"/>
      <c r="AS47" s="1"/>
      <c r="AT47" s="1"/>
      <c r="AU47" s="1"/>
      <c r="AV47" s="1"/>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row>
    <row r="48" spans="1:114" x14ac:dyDescent="0.25">
      <c r="A48" s="3"/>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7"/>
      <c r="AE48" s="7"/>
      <c r="AF48" s="4"/>
      <c r="AG48" s="4"/>
      <c r="AH48" s="4"/>
      <c r="AI48" s="4"/>
      <c r="AJ48" s="4"/>
      <c r="AK48" s="4"/>
      <c r="AL48" s="4"/>
      <c r="AM48" s="1"/>
      <c r="AN48" s="1"/>
      <c r="AO48" s="1"/>
      <c r="AP48" s="1"/>
      <c r="AQ48" s="1"/>
      <c r="AR48" s="1"/>
      <c r="AS48" s="1"/>
      <c r="AT48" s="1"/>
      <c r="AU48" s="1"/>
      <c r="AV48" s="1"/>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row>
    <row r="49" spans="1:114" x14ac:dyDescent="0.25">
      <c r="A49" s="3"/>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7"/>
      <c r="AE49" s="7"/>
      <c r="AF49" s="4"/>
      <c r="AG49" s="4"/>
      <c r="AH49" s="4"/>
      <c r="AI49" s="4"/>
      <c r="AJ49" s="4"/>
      <c r="AK49" s="4"/>
      <c r="AL49" s="4"/>
      <c r="AM49" s="1"/>
      <c r="AN49" s="1"/>
      <c r="AO49" s="1"/>
      <c r="AP49" s="1"/>
      <c r="AQ49" s="1"/>
      <c r="AR49" s="1"/>
      <c r="AS49" s="1"/>
      <c r="AT49" s="1"/>
      <c r="AU49" s="1"/>
      <c r="AV49" s="1"/>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row>
    <row r="50" spans="1:114" x14ac:dyDescent="0.25">
      <c r="A50" s="3"/>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7"/>
      <c r="AE50" s="7"/>
      <c r="AF50" s="4"/>
      <c r="AG50" s="4"/>
      <c r="AH50" s="4"/>
      <c r="AI50" s="4"/>
      <c r="AJ50" s="4"/>
      <c r="AK50" s="4"/>
      <c r="AL50" s="4"/>
      <c r="AM50" s="1"/>
      <c r="AN50" s="1"/>
      <c r="AO50" s="1"/>
      <c r="AP50" s="1"/>
      <c r="AQ50" s="1"/>
      <c r="AR50" s="1"/>
      <c r="AS50" s="1"/>
      <c r="AT50" s="1"/>
      <c r="AU50" s="1"/>
      <c r="AV50" s="1"/>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row>
    <row r="51" spans="1:114" x14ac:dyDescent="0.25">
      <c r="A51" s="3"/>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7"/>
      <c r="AE51" s="7"/>
      <c r="AF51" s="4"/>
      <c r="AG51" s="4"/>
      <c r="AH51" s="4"/>
      <c r="AI51" s="4"/>
      <c r="AJ51" s="4"/>
      <c r="AK51" s="4"/>
      <c r="AL51" s="4"/>
      <c r="AM51" s="1"/>
      <c r="AN51" s="1"/>
      <c r="AO51" s="1"/>
      <c r="AP51" s="1"/>
      <c r="AQ51" s="1"/>
      <c r="AR51" s="1"/>
      <c r="AS51" s="1"/>
      <c r="AT51" s="1"/>
      <c r="AU51" s="1"/>
      <c r="AV51" s="1"/>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row>
    <row r="52" spans="1:114" x14ac:dyDescent="0.25">
      <c r="A52" s="3"/>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7"/>
      <c r="AE52" s="7"/>
      <c r="AF52" s="4"/>
      <c r="AG52" s="4"/>
      <c r="AH52" s="4"/>
      <c r="AI52" s="4"/>
      <c r="AJ52" s="4"/>
      <c r="AK52" s="4"/>
      <c r="AL52" s="4"/>
      <c r="AM52" s="1"/>
      <c r="AN52" s="1"/>
      <c r="AO52" s="1"/>
      <c r="AP52" s="1"/>
      <c r="AQ52" s="1"/>
      <c r="AR52" s="1"/>
      <c r="AS52" s="1"/>
      <c r="AT52" s="1"/>
      <c r="AU52" s="1"/>
      <c r="AV52" s="1"/>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row>
    <row r="53" spans="1:114" x14ac:dyDescent="0.25">
      <c r="A53" s="3"/>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7"/>
      <c r="AE53" s="7"/>
      <c r="AF53" s="4"/>
      <c r="AG53" s="4"/>
      <c r="AH53" s="4"/>
      <c r="AI53" s="4"/>
      <c r="AJ53" s="4"/>
      <c r="AK53" s="4"/>
      <c r="AL53" s="4"/>
      <c r="AM53" s="1"/>
      <c r="AN53" s="1"/>
      <c r="AO53" s="1"/>
      <c r="AP53" s="1"/>
      <c r="AQ53" s="1"/>
      <c r="AR53" s="1"/>
      <c r="AS53" s="1"/>
      <c r="AT53" s="1"/>
      <c r="AU53" s="1"/>
      <c r="AV53" s="1"/>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row>
    <row r="54" spans="1:114" x14ac:dyDescent="0.25">
      <c r="A54" s="3"/>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7"/>
      <c r="AE54" s="7"/>
      <c r="AF54" s="4"/>
      <c r="AG54" s="4"/>
      <c r="AH54" s="4"/>
      <c r="AI54" s="4"/>
      <c r="AJ54" s="4"/>
      <c r="AK54" s="4"/>
      <c r="AL54" s="4"/>
      <c r="AM54" s="1"/>
      <c r="AN54" s="1"/>
      <c r="AO54" s="1"/>
      <c r="AP54" s="1"/>
      <c r="AQ54" s="1"/>
      <c r="AR54" s="1"/>
      <c r="AS54" s="1"/>
      <c r="AT54" s="1"/>
      <c r="AU54" s="1"/>
      <c r="AV54" s="1"/>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row>
    <row r="55" spans="1:114" x14ac:dyDescent="0.25">
      <c r="A55" s="3"/>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7"/>
      <c r="AE55" s="7"/>
      <c r="AF55" s="4"/>
      <c r="AG55" s="4"/>
      <c r="AH55" s="4"/>
      <c r="AI55" s="4"/>
      <c r="AJ55" s="4"/>
      <c r="AK55" s="4"/>
      <c r="AL55" s="4"/>
      <c r="AM55" s="1"/>
      <c r="AN55" s="1"/>
      <c r="AO55" s="1"/>
      <c r="AP55" s="1"/>
      <c r="AQ55" s="1"/>
      <c r="AR55" s="1"/>
      <c r="AS55" s="1"/>
      <c r="AT55" s="1"/>
      <c r="AU55" s="1"/>
      <c r="AV55" s="1"/>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row>
    <row r="56" spans="1:114" x14ac:dyDescent="0.25">
      <c r="A56" s="3"/>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7"/>
      <c r="AE56" s="7"/>
      <c r="AF56" s="4"/>
      <c r="AG56" s="4"/>
      <c r="AH56" s="4"/>
      <c r="AI56" s="4"/>
      <c r="AJ56" s="4"/>
      <c r="AK56" s="4"/>
      <c r="AL56" s="4"/>
      <c r="AM56" s="1"/>
      <c r="AN56" s="1"/>
      <c r="AO56" s="1"/>
      <c r="AP56" s="1"/>
      <c r="AQ56" s="1"/>
      <c r="AR56" s="1"/>
      <c r="AS56" s="1"/>
      <c r="AT56" s="1"/>
      <c r="AU56" s="1"/>
      <c r="AV56" s="1"/>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row>
    <row r="57" spans="1:114" x14ac:dyDescent="0.25">
      <c r="A57" s="3"/>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7"/>
      <c r="AE57" s="7"/>
      <c r="AF57" s="4"/>
      <c r="AG57" s="4"/>
      <c r="AH57" s="4"/>
      <c r="AI57" s="4"/>
      <c r="AJ57" s="4"/>
      <c r="AK57" s="4"/>
      <c r="AL57" s="4"/>
      <c r="AM57" s="1"/>
      <c r="AN57" s="1"/>
      <c r="AO57" s="1"/>
      <c r="AP57" s="1"/>
      <c r="AQ57" s="1"/>
      <c r="AR57" s="1"/>
      <c r="AS57" s="1"/>
      <c r="AT57" s="1"/>
      <c r="AU57" s="1"/>
      <c r="AV57" s="1"/>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row>
    <row r="58" spans="1:114" x14ac:dyDescent="0.25">
      <c r="A58" s="3"/>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7"/>
      <c r="AE58" s="7"/>
      <c r="AF58" s="4"/>
      <c r="AG58" s="4"/>
      <c r="AH58" s="4"/>
      <c r="AI58" s="4"/>
      <c r="AJ58" s="4"/>
      <c r="AK58" s="4"/>
      <c r="AL58" s="4"/>
      <c r="AM58" s="1"/>
      <c r="AN58" s="1"/>
      <c r="AO58" s="1"/>
      <c r="AP58" s="1"/>
      <c r="AQ58" s="1"/>
      <c r="AR58" s="1"/>
      <c r="AS58" s="1"/>
      <c r="AT58" s="1"/>
      <c r="AU58" s="1"/>
      <c r="AV58" s="1"/>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row>
    <row r="59" spans="1:114" x14ac:dyDescent="0.25">
      <c r="A59" s="3"/>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7"/>
      <c r="AE59" s="7"/>
      <c r="AF59" s="4"/>
      <c r="AG59" s="4"/>
      <c r="AH59" s="4"/>
      <c r="AI59" s="4"/>
      <c r="AJ59" s="4"/>
      <c r="AK59" s="4"/>
      <c r="AL59" s="4"/>
      <c r="AM59" s="1"/>
      <c r="AN59" s="1"/>
      <c r="AO59" s="1"/>
      <c r="AP59" s="1"/>
      <c r="AQ59" s="1"/>
      <c r="AR59" s="1"/>
      <c r="AS59" s="1"/>
      <c r="AT59" s="1"/>
      <c r="AU59" s="1"/>
      <c r="AV59" s="1"/>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row>
    <row r="60" spans="1:114" x14ac:dyDescent="0.25">
      <c r="A60" s="3"/>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7"/>
      <c r="AE60" s="7"/>
      <c r="AF60" s="4"/>
      <c r="AG60" s="4"/>
      <c r="AH60" s="4"/>
      <c r="AI60" s="4"/>
      <c r="AJ60" s="4"/>
      <c r="AK60" s="4"/>
      <c r="AL60" s="4"/>
      <c r="AM60" s="1"/>
      <c r="AN60" s="1"/>
      <c r="AO60" s="1"/>
      <c r="AP60" s="1"/>
      <c r="AQ60" s="1"/>
      <c r="AR60" s="1"/>
      <c r="AS60" s="1"/>
      <c r="AT60" s="1"/>
      <c r="AU60" s="1"/>
      <c r="AV60" s="1"/>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row>
    <row r="61" spans="1:114" x14ac:dyDescent="0.25">
      <c r="A61" s="3"/>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7"/>
      <c r="AE61" s="7"/>
      <c r="AF61" s="4"/>
      <c r="AG61" s="4"/>
      <c r="AH61" s="4"/>
      <c r="AI61" s="4"/>
      <c r="AJ61" s="4"/>
      <c r="AK61" s="4"/>
      <c r="AL61" s="4"/>
      <c r="AM61" s="1"/>
      <c r="AN61" s="1"/>
      <c r="AO61" s="1"/>
      <c r="AP61" s="1"/>
      <c r="AQ61" s="1"/>
      <c r="AR61" s="1"/>
      <c r="AS61" s="1"/>
      <c r="AT61" s="1"/>
      <c r="AU61" s="1"/>
      <c r="AV61" s="1"/>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row>
    <row r="62" spans="1:114" x14ac:dyDescent="0.25">
      <c r="A62" s="3"/>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7"/>
      <c r="AE62" s="7"/>
      <c r="AF62" s="4"/>
      <c r="AG62" s="4"/>
      <c r="AH62" s="4"/>
      <c r="AI62" s="4"/>
      <c r="AJ62" s="4"/>
      <c r="AK62" s="4"/>
      <c r="AL62" s="4"/>
      <c r="AM62" s="1"/>
      <c r="AN62" s="1"/>
      <c r="AO62" s="1"/>
      <c r="AP62" s="1"/>
      <c r="AQ62" s="1"/>
      <c r="AR62" s="1"/>
      <c r="AS62" s="1"/>
      <c r="AT62" s="1"/>
      <c r="AU62" s="1"/>
      <c r="AV62" s="1"/>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row>
    <row r="63" spans="1:114" x14ac:dyDescent="0.25">
      <c r="A63" s="3"/>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7"/>
      <c r="AE63" s="7"/>
      <c r="AF63" s="4"/>
      <c r="AG63" s="4"/>
      <c r="AH63" s="4"/>
      <c r="AI63" s="4"/>
      <c r="AJ63" s="4"/>
      <c r="AK63" s="4"/>
      <c r="AL63" s="4"/>
      <c r="AM63" s="1"/>
      <c r="AN63" s="1"/>
      <c r="AO63" s="1"/>
      <c r="AP63" s="1"/>
      <c r="AQ63" s="1"/>
      <c r="AR63" s="1"/>
      <c r="AS63" s="1"/>
      <c r="AT63" s="1"/>
      <c r="AU63" s="1"/>
      <c r="AV63" s="1"/>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row>
    <row r="64" spans="1:114" x14ac:dyDescent="0.25">
      <c r="A64" s="3"/>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7"/>
      <c r="AE64" s="7"/>
      <c r="AF64" s="4"/>
      <c r="AG64" s="4"/>
      <c r="AH64" s="4"/>
      <c r="AI64" s="4"/>
      <c r="AJ64" s="4"/>
      <c r="AK64" s="4"/>
      <c r="AL64" s="4"/>
      <c r="AM64" s="1"/>
      <c r="AN64" s="1"/>
      <c r="AO64" s="1"/>
      <c r="AP64" s="1"/>
      <c r="AQ64" s="1"/>
      <c r="AR64" s="1"/>
      <c r="AS64" s="1"/>
      <c r="AT64" s="1"/>
      <c r="AU64" s="1"/>
      <c r="AV64" s="1"/>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row>
    <row r="65" spans="1:114" x14ac:dyDescent="0.25">
      <c r="A65" s="3"/>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7"/>
      <c r="AE65" s="7"/>
      <c r="AF65" s="4"/>
      <c r="AG65" s="4"/>
      <c r="AH65" s="4"/>
      <c r="AI65" s="4"/>
      <c r="AJ65" s="4"/>
      <c r="AK65" s="4"/>
      <c r="AL65" s="4"/>
      <c r="AM65" s="1"/>
      <c r="AN65" s="1"/>
      <c r="AO65" s="1"/>
      <c r="AP65" s="1"/>
      <c r="AQ65" s="1"/>
      <c r="AR65" s="1"/>
      <c r="AS65" s="1"/>
      <c r="AT65" s="1"/>
      <c r="AU65" s="1"/>
      <c r="AV65" s="1"/>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row>
    <row r="66" spans="1:114" x14ac:dyDescent="0.25">
      <c r="A66" s="3"/>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7"/>
      <c r="AE66" s="7"/>
      <c r="AF66" s="4"/>
      <c r="AG66" s="4"/>
      <c r="AH66" s="4"/>
      <c r="AI66" s="4"/>
      <c r="AJ66" s="4"/>
      <c r="AK66" s="4"/>
      <c r="AL66" s="4"/>
      <c r="AM66" s="1"/>
      <c r="AN66" s="1"/>
      <c r="AO66" s="1"/>
      <c r="AP66" s="1"/>
      <c r="AQ66" s="1"/>
      <c r="AR66" s="1"/>
      <c r="AS66" s="1"/>
      <c r="AT66" s="1"/>
      <c r="AU66" s="1"/>
      <c r="AV66" s="1"/>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row>
    <row r="67" spans="1:114" x14ac:dyDescent="0.25">
      <c r="A67" s="3"/>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7"/>
      <c r="AE67" s="7"/>
      <c r="AF67" s="4"/>
      <c r="AG67" s="4"/>
      <c r="AH67" s="4"/>
      <c r="AI67" s="4"/>
      <c r="AJ67" s="4"/>
      <c r="AK67" s="4"/>
      <c r="AL67" s="4"/>
      <c r="AM67" s="1"/>
      <c r="AN67" s="1"/>
      <c r="AO67" s="1"/>
      <c r="AP67" s="1"/>
      <c r="AQ67" s="1"/>
      <c r="AR67" s="1"/>
      <c r="AS67" s="1"/>
      <c r="AT67" s="1"/>
      <c r="AU67" s="1"/>
      <c r="AV67" s="1"/>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row>
    <row r="68" spans="1:114" x14ac:dyDescent="0.25">
      <c r="A68" s="3"/>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7"/>
      <c r="AE68" s="7"/>
      <c r="AF68" s="4"/>
      <c r="AG68" s="4"/>
      <c r="AH68" s="4"/>
      <c r="AI68" s="4"/>
      <c r="AJ68" s="4"/>
      <c r="AK68" s="4"/>
      <c r="AL68" s="4"/>
      <c r="AM68" s="1"/>
      <c r="AN68" s="1"/>
      <c r="AO68" s="1"/>
      <c r="AP68" s="1"/>
      <c r="AQ68" s="1"/>
      <c r="AR68" s="1"/>
      <c r="AS68" s="1"/>
      <c r="AT68" s="1"/>
      <c r="AU68" s="1"/>
      <c r="AV68" s="1"/>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row>
    <row r="69" spans="1:114" x14ac:dyDescent="0.25">
      <c r="A69" s="3"/>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7"/>
      <c r="AE69" s="7"/>
      <c r="AF69" s="4"/>
      <c r="AG69" s="4"/>
      <c r="AH69" s="4"/>
      <c r="AI69" s="4"/>
      <c r="AJ69" s="4"/>
      <c r="AK69" s="4"/>
      <c r="AL69" s="4"/>
      <c r="AM69" s="1"/>
      <c r="AN69" s="1"/>
      <c r="AO69" s="1"/>
      <c r="AP69" s="1"/>
      <c r="AQ69" s="1"/>
      <c r="AR69" s="1"/>
      <c r="AS69" s="1"/>
      <c r="AT69" s="1"/>
      <c r="AU69" s="1"/>
      <c r="AV69" s="1"/>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row>
    <row r="70" spans="1:114" x14ac:dyDescent="0.25">
      <c r="A70" s="3"/>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7"/>
      <c r="AE70" s="7"/>
      <c r="AF70" s="4"/>
      <c r="AG70" s="4"/>
      <c r="AH70" s="4"/>
      <c r="AI70" s="4"/>
      <c r="AJ70" s="4"/>
      <c r="AK70" s="4"/>
      <c r="AL70" s="4"/>
      <c r="AM70" s="1"/>
      <c r="AN70" s="1"/>
      <c r="AO70" s="1"/>
      <c r="AP70" s="1"/>
      <c r="AQ70" s="1"/>
      <c r="AR70" s="1"/>
      <c r="AS70" s="1"/>
      <c r="AT70" s="1"/>
      <c r="AU70" s="1"/>
      <c r="AV70" s="1"/>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row>
    <row r="71" spans="1:114" x14ac:dyDescent="0.25">
      <c r="A71" s="3"/>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7"/>
      <c r="AE71" s="7"/>
      <c r="AF71" s="4"/>
      <c r="AG71" s="4"/>
      <c r="AH71" s="4"/>
      <c r="AI71" s="4"/>
      <c r="AJ71" s="4"/>
      <c r="AK71" s="4"/>
      <c r="AL71" s="4"/>
      <c r="AM71" s="1"/>
      <c r="AN71" s="1"/>
      <c r="AO71" s="1"/>
      <c r="AP71" s="1"/>
      <c r="AQ71" s="1"/>
      <c r="AR71" s="1"/>
      <c r="AS71" s="1"/>
      <c r="AT71" s="1"/>
      <c r="AU71" s="1"/>
      <c r="AV71" s="1"/>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row>
    <row r="72" spans="1:114" x14ac:dyDescent="0.25">
      <c r="A72" s="3"/>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7"/>
      <c r="AE72" s="7"/>
      <c r="AF72" s="4"/>
      <c r="AG72" s="4"/>
      <c r="AH72" s="4"/>
      <c r="AI72" s="4"/>
      <c r="AJ72" s="4"/>
      <c r="AK72" s="4"/>
      <c r="AL72" s="4"/>
      <c r="AM72" s="1"/>
      <c r="AN72" s="1"/>
      <c r="AO72" s="1"/>
      <c r="AP72" s="1"/>
      <c r="AQ72" s="1"/>
      <c r="AR72" s="1"/>
      <c r="AS72" s="1"/>
      <c r="AT72" s="1"/>
      <c r="AU72" s="1"/>
      <c r="AV72" s="1"/>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row>
    <row r="73" spans="1:114" x14ac:dyDescent="0.25">
      <c r="A73" s="3"/>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7"/>
      <c r="AE73" s="7"/>
      <c r="AF73" s="4"/>
      <c r="AG73" s="4"/>
      <c r="AH73" s="4"/>
      <c r="AI73" s="4"/>
      <c r="AJ73" s="4"/>
      <c r="AK73" s="4"/>
      <c r="AL73" s="4"/>
      <c r="AM73" s="1"/>
      <c r="AN73" s="1"/>
      <c r="AO73" s="1"/>
      <c r="AP73" s="1"/>
      <c r="AQ73" s="1"/>
      <c r="AR73" s="1"/>
      <c r="AS73" s="1"/>
      <c r="AT73" s="1"/>
      <c r="AU73" s="1"/>
      <c r="AV73" s="1"/>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row>
    <row r="74" spans="1:114" x14ac:dyDescent="0.25">
      <c r="A74" s="3"/>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7"/>
      <c r="AE74" s="7"/>
      <c r="AF74" s="4"/>
      <c r="AG74" s="4"/>
      <c r="AH74" s="4"/>
      <c r="AI74" s="4"/>
      <c r="AJ74" s="4"/>
      <c r="AK74" s="4"/>
      <c r="AL74" s="4"/>
      <c r="AM74" s="1"/>
      <c r="AN74" s="1"/>
      <c r="AO74" s="1"/>
      <c r="AP74" s="1"/>
      <c r="AQ74" s="1"/>
      <c r="AR74" s="1"/>
      <c r="AS74" s="1"/>
      <c r="AT74" s="1"/>
      <c r="AU74" s="1"/>
      <c r="AV74" s="1"/>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row>
    <row r="75" spans="1:114" x14ac:dyDescent="0.25">
      <c r="A75" s="3"/>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7"/>
      <c r="AE75" s="7"/>
      <c r="AF75" s="4"/>
      <c r="AG75" s="4"/>
      <c r="AH75" s="4"/>
      <c r="AI75" s="4"/>
      <c r="AJ75" s="4"/>
      <c r="AK75" s="4"/>
      <c r="AL75" s="4"/>
      <c r="AM75" s="1"/>
      <c r="AN75" s="1"/>
      <c r="AO75" s="1"/>
      <c r="AP75" s="1"/>
      <c r="AQ75" s="1"/>
      <c r="AR75" s="1"/>
      <c r="AS75" s="1"/>
      <c r="AT75" s="1"/>
      <c r="AU75" s="1"/>
      <c r="AV75" s="1"/>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row>
    <row r="76" spans="1:114" x14ac:dyDescent="0.25">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7"/>
      <c r="AE76" s="7"/>
      <c r="AF76" s="4"/>
      <c r="AG76" s="4"/>
      <c r="AH76" s="4"/>
      <c r="AI76" s="4"/>
      <c r="AJ76" s="4"/>
      <c r="AK76" s="4"/>
      <c r="AL76" s="4"/>
      <c r="AM76" s="1"/>
      <c r="AN76" s="1"/>
      <c r="AO76" s="1"/>
      <c r="AP76" s="1"/>
      <c r="AQ76" s="1"/>
      <c r="AR76" s="1"/>
      <c r="AS76" s="1"/>
      <c r="AT76" s="1"/>
      <c r="AU76" s="1"/>
      <c r="AV76" s="1"/>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row>
    <row r="77" spans="1:114" x14ac:dyDescent="0.25">
      <c r="A77" s="3"/>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7"/>
      <c r="AE77" s="7"/>
      <c r="AF77" s="4"/>
      <c r="AG77" s="4"/>
      <c r="AH77" s="4"/>
      <c r="AI77" s="4"/>
      <c r="AJ77" s="4"/>
      <c r="AK77" s="4"/>
      <c r="AL77" s="4"/>
      <c r="AM77" s="1"/>
      <c r="AN77" s="1"/>
      <c r="AO77" s="1"/>
      <c r="AP77" s="1"/>
      <c r="AQ77" s="1"/>
      <c r="AR77" s="1"/>
      <c r="AS77" s="1"/>
      <c r="AT77" s="1"/>
      <c r="AU77" s="1"/>
      <c r="AV77" s="1"/>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row>
    <row r="78" spans="1:114" x14ac:dyDescent="0.25">
      <c r="A78" s="3"/>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7"/>
      <c r="AE78" s="7"/>
      <c r="AF78" s="4"/>
      <c r="AG78" s="4"/>
      <c r="AH78" s="4"/>
      <c r="AI78" s="4"/>
      <c r="AJ78" s="4"/>
      <c r="AK78" s="4"/>
      <c r="AL78" s="4"/>
      <c r="AM78" s="1"/>
      <c r="AN78" s="1"/>
      <c r="AO78" s="1"/>
      <c r="AP78" s="1"/>
      <c r="AQ78" s="1"/>
      <c r="AR78" s="1"/>
      <c r="AS78" s="1"/>
      <c r="AT78" s="1"/>
      <c r="AU78" s="1"/>
      <c r="AV78" s="1"/>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row>
    <row r="79" spans="1:114" x14ac:dyDescent="0.25">
      <c r="A79" s="3"/>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7"/>
      <c r="AE79" s="7"/>
      <c r="AF79" s="4"/>
      <c r="AG79" s="4"/>
      <c r="AH79" s="4"/>
      <c r="AI79" s="4"/>
      <c r="AJ79" s="4"/>
      <c r="AK79" s="4"/>
      <c r="AL79" s="4"/>
      <c r="AM79" s="1"/>
      <c r="AN79" s="1"/>
      <c r="AO79" s="1"/>
      <c r="AP79" s="1"/>
      <c r="AQ79" s="1"/>
      <c r="AR79" s="1"/>
      <c r="AS79" s="1"/>
      <c r="AT79" s="1"/>
      <c r="AU79" s="1"/>
      <c r="AV79" s="1"/>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row>
    <row r="80" spans="1:114" x14ac:dyDescent="0.25">
      <c r="A80" s="3"/>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7"/>
      <c r="AE80" s="7"/>
      <c r="AF80" s="4"/>
      <c r="AG80" s="4"/>
      <c r="AH80" s="4"/>
      <c r="AI80" s="4"/>
      <c r="AJ80" s="4"/>
      <c r="AK80" s="4"/>
      <c r="AL80" s="4"/>
      <c r="AM80" s="1"/>
      <c r="AN80" s="1"/>
      <c r="AO80" s="1"/>
      <c r="AP80" s="1"/>
      <c r="AQ80" s="1"/>
      <c r="AR80" s="1"/>
      <c r="AS80" s="1"/>
      <c r="AT80" s="1"/>
      <c r="AU80" s="1"/>
      <c r="AV80" s="1"/>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row>
    <row r="81" spans="1:114" x14ac:dyDescent="0.25">
      <c r="A81" s="3"/>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7"/>
      <c r="AE81" s="7"/>
      <c r="AF81" s="4"/>
      <c r="AG81" s="4"/>
      <c r="AH81" s="4"/>
      <c r="AI81" s="4"/>
      <c r="AJ81" s="4"/>
      <c r="AK81" s="4"/>
      <c r="AL81" s="4"/>
      <c r="AM81" s="1"/>
      <c r="AN81" s="1"/>
      <c r="AO81" s="1"/>
      <c r="AP81" s="1"/>
      <c r="AQ81" s="1"/>
      <c r="AR81" s="1"/>
      <c r="AS81" s="1"/>
      <c r="AT81" s="1"/>
      <c r="AU81" s="1"/>
      <c r="AV81" s="1"/>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row>
    <row r="82" spans="1:114" x14ac:dyDescent="0.25">
      <c r="A82" s="3"/>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7"/>
      <c r="AE82" s="7"/>
      <c r="AF82" s="4"/>
      <c r="AG82" s="4"/>
      <c r="AH82" s="4"/>
      <c r="AI82" s="4"/>
      <c r="AJ82" s="4"/>
      <c r="AK82" s="4"/>
      <c r="AL82" s="4"/>
      <c r="AM82" s="1"/>
      <c r="AN82" s="1"/>
      <c r="AO82" s="1"/>
      <c r="AP82" s="1"/>
      <c r="AQ82" s="1"/>
      <c r="AR82" s="1"/>
      <c r="AS82" s="1"/>
      <c r="AT82" s="1"/>
      <c r="AU82" s="1"/>
      <c r="AV82" s="1"/>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row>
    <row r="83" spans="1:114" x14ac:dyDescent="0.25">
      <c r="A83" s="3"/>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7"/>
      <c r="AE83" s="7"/>
      <c r="AF83" s="4"/>
      <c r="AG83" s="4"/>
      <c r="AH83" s="4"/>
      <c r="AI83" s="4"/>
      <c r="AJ83" s="4"/>
      <c r="AK83" s="4"/>
      <c r="AL83" s="4"/>
      <c r="AM83" s="1"/>
      <c r="AN83" s="1"/>
      <c r="AO83" s="1"/>
      <c r="AP83" s="1"/>
      <c r="AQ83" s="1"/>
      <c r="AR83" s="1"/>
      <c r="AS83" s="1"/>
      <c r="AT83" s="1"/>
      <c r="AU83" s="1"/>
      <c r="AV83" s="1"/>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row>
    <row r="84" spans="1:114" x14ac:dyDescent="0.25">
      <c r="A84" s="3"/>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7"/>
      <c r="AE84" s="7"/>
      <c r="AF84" s="4"/>
      <c r="AG84" s="4"/>
      <c r="AH84" s="4"/>
      <c r="AI84" s="4"/>
      <c r="AJ84" s="4"/>
      <c r="AK84" s="4"/>
      <c r="AL84" s="4"/>
      <c r="AM84" s="1"/>
      <c r="AN84" s="1"/>
      <c r="AO84" s="1"/>
      <c r="AP84" s="1"/>
      <c r="AQ84" s="1"/>
      <c r="AR84" s="1"/>
      <c r="AS84" s="1"/>
      <c r="AT84" s="1"/>
      <c r="AU84" s="1"/>
      <c r="AV84" s="1"/>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row>
    <row r="85" spans="1:114" x14ac:dyDescent="0.25">
      <c r="A85" s="3"/>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7"/>
      <c r="AE85" s="7"/>
      <c r="AF85" s="4"/>
      <c r="AG85" s="4"/>
      <c r="AH85" s="4"/>
      <c r="AI85" s="4"/>
      <c r="AJ85" s="4"/>
      <c r="AK85" s="4"/>
      <c r="AL85" s="4"/>
      <c r="AM85" s="1"/>
      <c r="AN85" s="1"/>
      <c r="AO85" s="1"/>
      <c r="AP85" s="1"/>
      <c r="AQ85" s="1"/>
      <c r="AR85" s="1"/>
      <c r="AS85" s="1"/>
      <c r="AT85" s="1"/>
      <c r="AU85" s="1"/>
      <c r="AV85" s="1"/>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row>
    <row r="86" spans="1:114" x14ac:dyDescent="0.25">
      <c r="A86" s="3"/>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7"/>
      <c r="AE86" s="7"/>
      <c r="AF86" s="4"/>
      <c r="AG86" s="4"/>
      <c r="AH86" s="4"/>
      <c r="AI86" s="4"/>
      <c r="AJ86" s="4"/>
      <c r="AK86" s="4"/>
      <c r="AL86" s="4"/>
      <c r="AM86" s="1"/>
      <c r="AN86" s="1"/>
      <c r="AO86" s="1"/>
      <c r="AP86" s="1"/>
      <c r="AQ86" s="1"/>
      <c r="AR86" s="1"/>
      <c r="AS86" s="1"/>
      <c r="AT86" s="1"/>
      <c r="AU86" s="1"/>
      <c r="AV86" s="1"/>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row>
    <row r="87" spans="1:114" x14ac:dyDescent="0.25">
      <c r="A87" s="3"/>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7"/>
      <c r="AE87" s="7"/>
      <c r="AF87" s="4"/>
      <c r="AG87" s="4"/>
      <c r="AH87" s="4"/>
      <c r="AI87" s="4"/>
      <c r="AJ87" s="4"/>
      <c r="AK87" s="4"/>
      <c r="AL87" s="4"/>
      <c r="AM87" s="1"/>
      <c r="AN87" s="1"/>
      <c r="AO87" s="1"/>
      <c r="AP87" s="1"/>
      <c r="AQ87" s="1"/>
      <c r="AR87" s="1"/>
      <c r="AS87" s="1"/>
      <c r="AT87" s="1"/>
      <c r="AU87" s="1"/>
      <c r="AV87" s="1"/>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row>
    <row r="88" spans="1:114" x14ac:dyDescent="0.25">
      <c r="A88" s="3"/>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7"/>
      <c r="AE88" s="7"/>
      <c r="AF88" s="4"/>
      <c r="AG88" s="4"/>
      <c r="AH88" s="4"/>
      <c r="AI88" s="4"/>
      <c r="AJ88" s="4"/>
      <c r="AK88" s="4"/>
      <c r="AL88" s="4"/>
      <c r="AM88" s="1"/>
      <c r="AN88" s="1"/>
      <c r="AO88" s="1"/>
      <c r="AP88" s="1"/>
      <c r="AQ88" s="1"/>
      <c r="AR88" s="1"/>
      <c r="AS88" s="1"/>
      <c r="AT88" s="1"/>
      <c r="AU88" s="1"/>
      <c r="AV88" s="1"/>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row>
    <row r="89" spans="1:114" x14ac:dyDescent="0.25">
      <c r="A89" s="3"/>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7"/>
      <c r="AE89" s="7"/>
      <c r="AF89" s="4"/>
      <c r="AG89" s="4"/>
      <c r="AH89" s="4"/>
      <c r="AI89" s="4"/>
      <c r="AJ89" s="4"/>
      <c r="AK89" s="4"/>
      <c r="AL89" s="4"/>
      <c r="AM89" s="1"/>
      <c r="AN89" s="1"/>
      <c r="AO89" s="1"/>
      <c r="AP89" s="1"/>
      <c r="AQ89" s="1"/>
      <c r="AR89" s="1"/>
      <c r="AS89" s="1"/>
      <c r="AT89" s="1"/>
      <c r="AU89" s="1"/>
      <c r="AV89" s="1"/>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c r="DI89" s="5"/>
      <c r="DJ89" s="5"/>
    </row>
    <row r="90" spans="1:114" x14ac:dyDescent="0.25">
      <c r="A90" s="3"/>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7"/>
      <c r="AE90" s="7"/>
      <c r="AF90" s="4"/>
      <c r="AG90" s="4"/>
      <c r="AH90" s="4"/>
      <c r="AI90" s="4"/>
      <c r="AJ90" s="4"/>
      <c r="AK90" s="4"/>
      <c r="AL90" s="4"/>
      <c r="AM90" s="1"/>
      <c r="AN90" s="1"/>
      <c r="AO90" s="1"/>
      <c r="AP90" s="1"/>
      <c r="AQ90" s="1"/>
      <c r="AR90" s="1"/>
      <c r="AS90" s="1"/>
      <c r="AT90" s="1"/>
      <c r="AU90" s="1"/>
      <c r="AV90" s="1"/>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row>
    <row r="91" spans="1:114" x14ac:dyDescent="0.25">
      <c r="A91" s="3"/>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7"/>
      <c r="AE91" s="7"/>
      <c r="AF91" s="4"/>
      <c r="AG91" s="4"/>
      <c r="AH91" s="4"/>
      <c r="AI91" s="4"/>
      <c r="AJ91" s="4"/>
      <c r="AK91" s="4"/>
      <c r="AL91" s="4"/>
      <c r="AM91" s="1"/>
      <c r="AN91" s="1"/>
      <c r="AO91" s="1"/>
      <c r="AP91" s="1"/>
      <c r="AQ91" s="1"/>
      <c r="AR91" s="1"/>
      <c r="AS91" s="1"/>
      <c r="AT91" s="1"/>
      <c r="AU91" s="1"/>
      <c r="AV91" s="1"/>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row>
    <row r="92" spans="1:114" x14ac:dyDescent="0.25">
      <c r="A92" s="3"/>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7"/>
      <c r="AE92" s="7"/>
      <c r="AF92" s="4"/>
      <c r="AG92" s="4"/>
      <c r="AH92" s="4"/>
      <c r="AI92" s="4"/>
      <c r="AJ92" s="4"/>
      <c r="AK92" s="4"/>
      <c r="AL92" s="4"/>
      <c r="AM92" s="1"/>
      <c r="AN92" s="1"/>
      <c r="AO92" s="1"/>
      <c r="AP92" s="1"/>
      <c r="AQ92" s="1"/>
      <c r="AR92" s="1"/>
      <c r="AS92" s="1"/>
      <c r="AT92" s="1"/>
      <c r="AU92" s="1"/>
      <c r="AV92" s="1"/>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c r="DI92" s="5"/>
      <c r="DJ92" s="5"/>
    </row>
    <row r="93" spans="1:114" x14ac:dyDescent="0.25">
      <c r="A93" s="3"/>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7"/>
      <c r="AE93" s="7"/>
      <c r="AF93" s="4"/>
      <c r="AG93" s="4"/>
      <c r="AH93" s="4"/>
      <c r="AI93" s="4"/>
      <c r="AJ93" s="4"/>
      <c r="AK93" s="4"/>
      <c r="AL93" s="4"/>
      <c r="AM93" s="1"/>
      <c r="AN93" s="1"/>
      <c r="AO93" s="1"/>
      <c r="AP93" s="1"/>
      <c r="AQ93" s="1"/>
      <c r="AR93" s="1"/>
      <c r="AS93" s="1"/>
      <c r="AT93" s="1"/>
      <c r="AU93" s="1"/>
      <c r="AV93" s="1"/>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c r="DI93" s="5"/>
      <c r="DJ93" s="5"/>
    </row>
    <row r="94" spans="1:114" x14ac:dyDescent="0.25">
      <c r="A94" s="3"/>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7"/>
      <c r="AE94" s="7"/>
      <c r="AF94" s="4"/>
      <c r="AG94" s="4"/>
      <c r="AH94" s="4"/>
      <c r="AI94" s="4"/>
      <c r="AJ94" s="4"/>
      <c r="AK94" s="4"/>
      <c r="AL94" s="4"/>
      <c r="AM94" s="1"/>
      <c r="AN94" s="1"/>
      <c r="AO94" s="1"/>
      <c r="AP94" s="1"/>
      <c r="AQ94" s="1"/>
      <c r="AR94" s="1"/>
      <c r="AS94" s="1"/>
      <c r="AT94" s="1"/>
      <c r="AU94" s="1"/>
      <c r="AV94" s="1"/>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row>
    <row r="95" spans="1:114" x14ac:dyDescent="0.25">
      <c r="A95" s="3"/>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7"/>
      <c r="AE95" s="7"/>
      <c r="AF95" s="4"/>
      <c r="AG95" s="4"/>
      <c r="AH95" s="4"/>
      <c r="AI95" s="4"/>
      <c r="AJ95" s="4"/>
      <c r="AK95" s="4"/>
      <c r="AL95" s="4"/>
      <c r="AM95" s="1"/>
      <c r="AN95" s="1"/>
      <c r="AO95" s="1"/>
      <c r="AP95" s="1"/>
      <c r="AQ95" s="1"/>
      <c r="AR95" s="1"/>
      <c r="AS95" s="1"/>
      <c r="AT95" s="1"/>
      <c r="AU95" s="1"/>
      <c r="AV95" s="1"/>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row>
    <row r="96" spans="1:114" x14ac:dyDescent="0.25">
      <c r="A96" s="3"/>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7"/>
      <c r="AE96" s="7"/>
      <c r="AF96" s="4"/>
      <c r="AG96" s="4"/>
      <c r="AH96" s="4"/>
      <c r="AI96" s="4"/>
      <c r="AJ96" s="4"/>
      <c r="AK96" s="4"/>
      <c r="AL96" s="4"/>
      <c r="AM96" s="1"/>
      <c r="AN96" s="1"/>
      <c r="AO96" s="1"/>
      <c r="AP96" s="1"/>
      <c r="AQ96" s="1"/>
      <c r="AR96" s="1"/>
      <c r="AS96" s="1"/>
      <c r="AT96" s="1"/>
      <c r="AU96" s="1"/>
      <c r="AV96" s="1"/>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c r="DI96" s="5"/>
      <c r="DJ96" s="5"/>
    </row>
    <row r="97" spans="1:114" x14ac:dyDescent="0.25">
      <c r="A97" s="5"/>
      <c r="B97" s="1"/>
      <c r="C97" s="1"/>
      <c r="D97" s="4"/>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4"/>
      <c r="AG97" s="4"/>
      <c r="AH97" s="4"/>
      <c r="AI97" s="4"/>
      <c r="AJ97" s="4"/>
      <c r="AK97" s="4"/>
      <c r="AL97" s="4"/>
      <c r="AM97" s="1"/>
      <c r="AN97" s="1"/>
      <c r="AO97" s="1"/>
      <c r="AP97" s="1"/>
      <c r="AQ97" s="1"/>
      <c r="AR97" s="1"/>
      <c r="AS97" s="1"/>
      <c r="AT97" s="1"/>
      <c r="AU97" s="1"/>
      <c r="AV97" s="1"/>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c r="DI97" s="5"/>
      <c r="DJ97" s="5"/>
    </row>
    <row r="98" spans="1:114" x14ac:dyDescent="0.25">
      <c r="A98" s="5"/>
      <c r="B98" s="1"/>
      <c r="C98" s="1"/>
      <c r="D98" s="4"/>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4"/>
      <c r="AG98" s="4"/>
      <c r="AH98" s="4"/>
      <c r="AI98" s="4"/>
      <c r="AJ98" s="4"/>
      <c r="AK98" s="4"/>
      <c r="AL98" s="4"/>
      <c r="AM98" s="1"/>
      <c r="AN98" s="1"/>
      <c r="AO98" s="1"/>
      <c r="AP98" s="1"/>
      <c r="AQ98" s="1"/>
      <c r="AR98" s="1"/>
      <c r="AS98" s="1"/>
      <c r="AT98" s="1"/>
      <c r="AU98" s="1"/>
      <c r="AV98" s="1"/>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c r="DI98" s="5"/>
      <c r="DJ98" s="5"/>
    </row>
    <row r="99" spans="1:114" x14ac:dyDescent="0.25">
      <c r="A99" s="5"/>
      <c r="B99" s="1"/>
      <c r="C99" s="1"/>
      <c r="D99" s="4"/>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4"/>
      <c r="AG99" s="4"/>
      <c r="AH99" s="4"/>
      <c r="AI99" s="4"/>
      <c r="AJ99" s="4"/>
      <c r="AK99" s="4"/>
      <c r="AL99" s="4"/>
      <c r="AM99" s="1"/>
      <c r="AN99" s="1"/>
      <c r="AO99" s="1"/>
      <c r="AP99" s="1"/>
      <c r="AQ99" s="1"/>
      <c r="AR99" s="1"/>
      <c r="AS99" s="1"/>
      <c r="AT99" s="1"/>
      <c r="AU99" s="1"/>
      <c r="AV99" s="1"/>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c r="DI99" s="5"/>
      <c r="DJ99" s="5"/>
    </row>
    <row r="100" spans="1:114" x14ac:dyDescent="0.25">
      <c r="A100" s="5"/>
      <c r="B100" s="1"/>
      <c r="C100" s="1"/>
      <c r="D100" s="4"/>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4"/>
      <c r="AG100" s="4"/>
      <c r="AH100" s="4"/>
      <c r="AI100" s="4"/>
      <c r="AJ100" s="4"/>
      <c r="AK100" s="4"/>
      <c r="AL100" s="4"/>
      <c r="AM100" s="1"/>
      <c r="AN100" s="1"/>
      <c r="AO100" s="1"/>
      <c r="AP100" s="1"/>
      <c r="AQ100" s="1"/>
      <c r="AR100" s="1"/>
      <c r="AS100" s="1"/>
      <c r="AT100" s="1"/>
      <c r="AU100" s="1"/>
      <c r="AV100" s="1"/>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row>
    <row r="101" spans="1:114" x14ac:dyDescent="0.25">
      <c r="A101" s="5"/>
      <c r="B101" s="1"/>
      <c r="C101" s="1"/>
      <c r="D101" s="4"/>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4"/>
      <c r="AG101" s="4"/>
      <c r="AH101" s="4"/>
      <c r="AI101" s="4"/>
      <c r="AJ101" s="4"/>
      <c r="AK101" s="4"/>
      <c r="AL101" s="4"/>
      <c r="AM101" s="1"/>
      <c r="AN101" s="1"/>
      <c r="AO101" s="1"/>
      <c r="AP101" s="1"/>
      <c r="AQ101" s="1"/>
      <c r="AR101" s="1"/>
      <c r="AS101" s="1"/>
      <c r="AT101" s="1"/>
      <c r="AU101" s="1"/>
      <c r="AV101" s="1"/>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c r="DI101" s="5"/>
      <c r="DJ101" s="5"/>
    </row>
    <row r="102" spans="1:114" x14ac:dyDescent="0.25">
      <c r="A102" s="5"/>
      <c r="B102" s="1"/>
      <c r="C102" s="1"/>
      <c r="D102" s="4"/>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4"/>
      <c r="AG102" s="4"/>
      <c r="AH102" s="4"/>
      <c r="AI102" s="4"/>
      <c r="AJ102" s="4"/>
      <c r="AK102" s="4"/>
      <c r="AL102" s="4"/>
      <c r="AM102" s="1"/>
      <c r="AN102" s="1"/>
      <c r="AO102" s="1"/>
      <c r="AP102" s="1"/>
      <c r="AQ102" s="1"/>
      <c r="AR102" s="1"/>
      <c r="AS102" s="1"/>
      <c r="AT102" s="1"/>
      <c r="AU102" s="1"/>
      <c r="AV102" s="1"/>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row>
    <row r="103" spans="1:114" x14ac:dyDescent="0.25">
      <c r="A103" s="5"/>
      <c r="B103" s="1"/>
      <c r="C103" s="1"/>
      <c r="D103" s="4"/>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4"/>
      <c r="AG103" s="4"/>
      <c r="AH103" s="4"/>
      <c r="AI103" s="4"/>
      <c r="AJ103" s="4"/>
      <c r="AK103" s="4"/>
      <c r="AL103" s="4"/>
      <c r="AM103" s="1"/>
      <c r="AN103" s="1"/>
      <c r="AO103" s="1"/>
      <c r="AP103" s="1"/>
      <c r="AQ103" s="1"/>
      <c r="AR103" s="1"/>
      <c r="AS103" s="1"/>
      <c r="AT103" s="1"/>
      <c r="AU103" s="1"/>
      <c r="AV103" s="1"/>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5"/>
      <c r="DG103" s="5"/>
      <c r="DH103" s="5"/>
      <c r="DI103" s="5"/>
      <c r="DJ103" s="5"/>
    </row>
    <row r="104" spans="1:114" x14ac:dyDescent="0.25">
      <c r="A104" s="5"/>
      <c r="B104" s="1"/>
      <c r="C104" s="1"/>
      <c r="D104" s="4"/>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4"/>
      <c r="AG104" s="4"/>
      <c r="AH104" s="4"/>
      <c r="AI104" s="4"/>
      <c r="AJ104" s="4"/>
      <c r="AK104" s="4"/>
      <c r="AL104" s="4"/>
      <c r="AM104" s="1"/>
      <c r="AN104" s="1"/>
      <c r="AO104" s="1"/>
      <c r="AP104" s="1"/>
      <c r="AQ104" s="1"/>
      <c r="AR104" s="1"/>
      <c r="AS104" s="1"/>
      <c r="AT104" s="1"/>
      <c r="AU104" s="1"/>
      <c r="AV104" s="1"/>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c r="DJ104" s="5"/>
    </row>
    <row r="105" spans="1:114" x14ac:dyDescent="0.25">
      <c r="A105" s="5"/>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4"/>
      <c r="AG105" s="4"/>
      <c r="AH105" s="4"/>
      <c r="AI105" s="4"/>
      <c r="AJ105" s="4"/>
      <c r="AK105" s="4"/>
      <c r="AL105" s="4"/>
      <c r="AM105" s="1"/>
      <c r="AN105" s="1"/>
      <c r="AO105" s="1"/>
      <c r="AP105" s="1"/>
      <c r="AQ105" s="1"/>
      <c r="AR105" s="1"/>
      <c r="AS105" s="1"/>
      <c r="AT105" s="1"/>
      <c r="AU105" s="1"/>
      <c r="AV105" s="1"/>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5"/>
      <c r="DG105" s="5"/>
      <c r="DH105" s="5"/>
      <c r="DI105" s="5"/>
      <c r="DJ105" s="5"/>
    </row>
    <row r="106" spans="1:114" x14ac:dyDescent="0.25">
      <c r="A106" s="5"/>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4"/>
      <c r="AG106" s="4"/>
      <c r="AH106" s="4"/>
      <c r="AI106" s="4"/>
      <c r="AJ106" s="4"/>
      <c r="AK106" s="4"/>
      <c r="AL106" s="4"/>
      <c r="AM106" s="1"/>
      <c r="AN106" s="1"/>
      <c r="AO106" s="1"/>
      <c r="AP106" s="1"/>
      <c r="AQ106" s="1"/>
      <c r="AR106" s="1"/>
      <c r="AS106" s="1"/>
      <c r="AT106" s="1"/>
      <c r="AU106" s="1"/>
      <c r="AV106" s="1"/>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c r="CW106" s="5"/>
      <c r="CX106" s="5"/>
      <c r="CY106" s="5"/>
      <c r="CZ106" s="5"/>
      <c r="DA106" s="5"/>
      <c r="DB106" s="5"/>
      <c r="DC106" s="5"/>
      <c r="DD106" s="5"/>
      <c r="DE106" s="5"/>
      <c r="DF106" s="5"/>
      <c r="DG106" s="5"/>
      <c r="DH106" s="5"/>
      <c r="DI106" s="5"/>
      <c r="DJ106" s="5"/>
    </row>
    <row r="107" spans="1:114" x14ac:dyDescent="0.25">
      <c r="A107" s="5"/>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4"/>
      <c r="AG107" s="4"/>
      <c r="AH107" s="4"/>
      <c r="AI107" s="4"/>
      <c r="AJ107" s="4"/>
      <c r="AK107" s="4"/>
      <c r="AL107" s="4"/>
      <c r="AM107" s="1"/>
      <c r="AN107" s="1"/>
      <c r="AO107" s="1"/>
      <c r="AP107" s="1"/>
      <c r="AQ107" s="1"/>
      <c r="AR107" s="1"/>
      <c r="AS107" s="1"/>
      <c r="AT107" s="1"/>
      <c r="AU107" s="1"/>
      <c r="AV107" s="1"/>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c r="CW107" s="5"/>
      <c r="CX107" s="5"/>
      <c r="CY107" s="5"/>
      <c r="CZ107" s="5"/>
      <c r="DA107" s="5"/>
      <c r="DB107" s="5"/>
      <c r="DC107" s="5"/>
      <c r="DD107" s="5"/>
      <c r="DE107" s="5"/>
      <c r="DF107" s="5"/>
      <c r="DG107" s="5"/>
      <c r="DH107" s="5"/>
      <c r="DI107" s="5"/>
      <c r="DJ107" s="5"/>
    </row>
    <row r="108" spans="1:114" x14ac:dyDescent="0.25">
      <c r="A108" s="5"/>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4"/>
      <c r="AG108" s="4"/>
      <c r="AH108" s="4"/>
      <c r="AI108" s="4"/>
      <c r="AJ108" s="4"/>
      <c r="AK108" s="4"/>
      <c r="AL108" s="4"/>
      <c r="AM108" s="1"/>
      <c r="AN108" s="1"/>
      <c r="AO108" s="1"/>
      <c r="AP108" s="1"/>
      <c r="AQ108" s="1"/>
      <c r="AR108" s="1"/>
      <c r="AS108" s="1"/>
      <c r="AT108" s="1"/>
      <c r="AU108" s="1"/>
      <c r="AV108" s="1"/>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c r="CW108" s="5"/>
      <c r="CX108" s="5"/>
      <c r="CY108" s="5"/>
      <c r="CZ108" s="5"/>
      <c r="DA108" s="5"/>
      <c r="DB108" s="5"/>
      <c r="DC108" s="5"/>
      <c r="DD108" s="5"/>
      <c r="DE108" s="5"/>
      <c r="DF108" s="5"/>
      <c r="DG108" s="5"/>
      <c r="DH108" s="5"/>
      <c r="DI108" s="5"/>
      <c r="DJ108" s="5"/>
    </row>
    <row r="109" spans="1:114" x14ac:dyDescent="0.25">
      <c r="A109" s="5"/>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4"/>
      <c r="AG109" s="4"/>
      <c r="AH109" s="4"/>
      <c r="AI109" s="4"/>
      <c r="AJ109" s="4"/>
      <c r="AK109" s="4"/>
      <c r="AL109" s="4"/>
      <c r="AM109" s="1"/>
      <c r="AN109" s="1"/>
      <c r="AO109" s="1"/>
      <c r="AP109" s="1"/>
      <c r="AQ109" s="1"/>
      <c r="AR109" s="1"/>
      <c r="AS109" s="1"/>
      <c r="AT109" s="1"/>
      <c r="AU109" s="1"/>
      <c r="AV109" s="1"/>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c r="CW109" s="5"/>
      <c r="CX109" s="5"/>
      <c r="CY109" s="5"/>
      <c r="CZ109" s="5"/>
      <c r="DA109" s="5"/>
      <c r="DB109" s="5"/>
      <c r="DC109" s="5"/>
      <c r="DD109" s="5"/>
      <c r="DE109" s="5"/>
      <c r="DF109" s="5"/>
      <c r="DG109" s="5"/>
      <c r="DH109" s="5"/>
      <c r="DI109" s="5"/>
      <c r="DJ109" s="5"/>
    </row>
    <row r="110" spans="1:114" x14ac:dyDescent="0.25">
      <c r="A110" s="5"/>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4"/>
      <c r="AG110" s="4"/>
      <c r="AH110" s="4"/>
      <c r="AI110" s="4"/>
      <c r="AJ110" s="4"/>
      <c r="AK110" s="4"/>
      <c r="AL110" s="4"/>
      <c r="AM110" s="1"/>
      <c r="AN110" s="1"/>
      <c r="AO110" s="1"/>
      <c r="AP110" s="1"/>
      <c r="AQ110" s="1"/>
      <c r="AR110" s="1"/>
      <c r="AS110" s="1"/>
      <c r="AT110" s="1"/>
      <c r="AU110" s="1"/>
      <c r="AV110" s="1"/>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c r="CW110" s="5"/>
      <c r="CX110" s="5"/>
      <c r="CY110" s="5"/>
      <c r="CZ110" s="5"/>
      <c r="DA110" s="5"/>
      <c r="DB110" s="5"/>
      <c r="DC110" s="5"/>
      <c r="DD110" s="5"/>
      <c r="DE110" s="5"/>
      <c r="DF110" s="5"/>
      <c r="DG110" s="5"/>
      <c r="DH110" s="5"/>
      <c r="DI110" s="5"/>
      <c r="DJ110" s="5"/>
    </row>
    <row r="111" spans="1:114" x14ac:dyDescent="0.25">
      <c r="A111" s="5"/>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4"/>
      <c r="AG111" s="4"/>
      <c r="AH111" s="4"/>
      <c r="AI111" s="4"/>
      <c r="AJ111" s="4"/>
      <c r="AK111" s="4"/>
      <c r="AL111" s="4"/>
      <c r="AM111" s="1"/>
      <c r="AN111" s="1"/>
      <c r="AO111" s="1"/>
      <c r="AP111" s="1"/>
      <c r="AQ111" s="1"/>
      <c r="AR111" s="1"/>
      <c r="AS111" s="1"/>
      <c r="AT111" s="1"/>
      <c r="AU111" s="1"/>
      <c r="AV111" s="1"/>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c r="CW111" s="5"/>
      <c r="CX111" s="5"/>
      <c r="CY111" s="5"/>
      <c r="CZ111" s="5"/>
      <c r="DA111" s="5"/>
      <c r="DB111" s="5"/>
      <c r="DC111" s="5"/>
      <c r="DD111" s="5"/>
      <c r="DE111" s="5"/>
      <c r="DF111" s="5"/>
      <c r="DG111" s="5"/>
      <c r="DH111" s="5"/>
      <c r="DI111" s="5"/>
      <c r="DJ111" s="5"/>
    </row>
    <row r="112" spans="1:114" x14ac:dyDescent="0.25">
      <c r="A112" s="5"/>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4"/>
      <c r="AG112" s="4"/>
      <c r="AH112" s="4"/>
      <c r="AI112" s="4"/>
      <c r="AJ112" s="4"/>
      <c r="AK112" s="4"/>
      <c r="AL112" s="4"/>
      <c r="AM112" s="1"/>
      <c r="AN112" s="1"/>
      <c r="AO112" s="1"/>
      <c r="AP112" s="1"/>
      <c r="AQ112" s="1"/>
      <c r="AR112" s="1"/>
      <c r="AS112" s="1"/>
      <c r="AT112" s="1"/>
      <c r="AU112" s="1"/>
      <c r="AV112" s="1"/>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c r="CW112" s="5"/>
      <c r="CX112" s="5"/>
      <c r="CY112" s="5"/>
      <c r="CZ112" s="5"/>
      <c r="DA112" s="5"/>
      <c r="DB112" s="5"/>
      <c r="DC112" s="5"/>
      <c r="DD112" s="5"/>
      <c r="DE112" s="5"/>
      <c r="DF112" s="5"/>
      <c r="DG112" s="5"/>
      <c r="DH112" s="5"/>
      <c r="DI112" s="5"/>
      <c r="DJ112" s="5"/>
    </row>
    <row r="113" spans="1:114" x14ac:dyDescent="0.25">
      <c r="A113" s="5"/>
      <c r="B113" s="5"/>
      <c r="C113" s="5"/>
      <c r="D113" s="1"/>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8"/>
      <c r="AG113" s="8"/>
      <c r="AH113" s="4"/>
      <c r="AI113" s="4"/>
      <c r="AJ113" s="8"/>
      <c r="AK113" s="8"/>
      <c r="AL113" s="8"/>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c r="CW113" s="5"/>
      <c r="CX113" s="5"/>
      <c r="CY113" s="5"/>
      <c r="CZ113" s="5"/>
      <c r="DA113" s="5"/>
      <c r="DB113" s="5"/>
      <c r="DC113" s="5"/>
      <c r="DD113" s="5"/>
      <c r="DE113" s="5"/>
      <c r="DF113" s="5"/>
      <c r="DG113" s="5"/>
      <c r="DH113" s="5"/>
      <c r="DI113" s="5"/>
      <c r="DJ113" s="5"/>
    </row>
    <row r="114" spans="1:114" x14ac:dyDescent="0.25">
      <c r="A114" s="5"/>
      <c r="B114" s="5"/>
      <c r="C114" s="5"/>
      <c r="D114" s="1"/>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8"/>
      <c r="AG114" s="8"/>
      <c r="AH114" s="4"/>
      <c r="AI114" s="4"/>
      <c r="AJ114" s="8"/>
      <c r="AK114" s="8"/>
      <c r="AL114" s="8"/>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c r="CW114" s="5"/>
      <c r="CX114" s="5"/>
      <c r="CY114" s="5"/>
      <c r="CZ114" s="5"/>
      <c r="DA114" s="5"/>
      <c r="DB114" s="5"/>
      <c r="DC114" s="5"/>
      <c r="DD114" s="5"/>
      <c r="DE114" s="5"/>
      <c r="DF114" s="5"/>
      <c r="DG114" s="5"/>
      <c r="DH114" s="5"/>
      <c r="DI114" s="5"/>
      <c r="DJ114" s="5"/>
    </row>
    <row r="115" spans="1:114" x14ac:dyDescent="0.25">
      <c r="A115" s="5"/>
      <c r="B115" s="5"/>
      <c r="C115" s="5"/>
      <c r="D115" s="1"/>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8"/>
      <c r="AG115" s="8"/>
      <c r="AH115" s="4"/>
      <c r="AI115" s="4"/>
      <c r="AJ115" s="8"/>
      <c r="AK115" s="8"/>
      <c r="AL115" s="8"/>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c r="CW115" s="5"/>
      <c r="CX115" s="5"/>
      <c r="CY115" s="5"/>
      <c r="CZ115" s="5"/>
      <c r="DA115" s="5"/>
      <c r="DB115" s="5"/>
      <c r="DC115" s="5"/>
      <c r="DD115" s="5"/>
      <c r="DE115" s="5"/>
      <c r="DF115" s="5"/>
      <c r="DG115" s="5"/>
      <c r="DH115" s="5"/>
      <c r="DI115" s="5"/>
      <c r="DJ115" s="5"/>
    </row>
    <row r="116" spans="1:114" x14ac:dyDescent="0.25">
      <c r="A116" s="5"/>
      <c r="B116" s="5"/>
      <c r="C116" s="5"/>
      <c r="D116" s="1"/>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8"/>
      <c r="AG116" s="8"/>
      <c r="AH116" s="4"/>
      <c r="AI116" s="4"/>
      <c r="AJ116" s="8"/>
      <c r="AK116" s="8"/>
      <c r="AL116" s="8"/>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c r="DF116" s="5"/>
      <c r="DG116" s="5"/>
      <c r="DH116" s="5"/>
      <c r="DI116" s="5"/>
      <c r="DJ116" s="5"/>
    </row>
    <row r="117" spans="1:114" x14ac:dyDescent="0.25">
      <c r="A117" s="5"/>
      <c r="B117" s="5"/>
      <c r="C117" s="5"/>
      <c r="D117" s="1"/>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8"/>
      <c r="AG117" s="8"/>
      <c r="AH117" s="4"/>
      <c r="AI117" s="4"/>
      <c r="AJ117" s="8"/>
      <c r="AK117" s="8"/>
      <c r="AL117" s="8"/>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c r="CW117" s="5"/>
      <c r="CX117" s="5"/>
      <c r="CY117" s="5"/>
      <c r="CZ117" s="5"/>
      <c r="DA117" s="5"/>
      <c r="DB117" s="5"/>
      <c r="DC117" s="5"/>
      <c r="DD117" s="5"/>
      <c r="DE117" s="5"/>
      <c r="DF117" s="5"/>
      <c r="DG117" s="5"/>
      <c r="DH117" s="5"/>
      <c r="DI117" s="5"/>
      <c r="DJ117" s="5"/>
    </row>
    <row r="118" spans="1:114" x14ac:dyDescent="0.25">
      <c r="A118" s="5"/>
      <c r="B118" s="5"/>
      <c r="C118" s="5"/>
      <c r="D118" s="1"/>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8"/>
      <c r="AG118" s="8"/>
      <c r="AH118" s="4"/>
      <c r="AI118" s="4"/>
      <c r="AJ118" s="8"/>
      <c r="AK118" s="8"/>
      <c r="AL118" s="8"/>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c r="CW118" s="5"/>
      <c r="CX118" s="5"/>
      <c r="CY118" s="5"/>
      <c r="CZ118" s="5"/>
      <c r="DA118" s="5"/>
      <c r="DB118" s="5"/>
      <c r="DC118" s="5"/>
      <c r="DD118" s="5"/>
      <c r="DE118" s="5"/>
      <c r="DF118" s="5"/>
      <c r="DG118" s="5"/>
      <c r="DH118" s="5"/>
      <c r="DI118" s="5"/>
      <c r="DJ118" s="5"/>
    </row>
    <row r="119" spans="1:114" x14ac:dyDescent="0.25">
      <c r="A119" s="5"/>
      <c r="B119" s="5"/>
      <c r="C119" s="5"/>
      <c r="D119" s="1"/>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4"/>
      <c r="AI119" s="4"/>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c r="CW119" s="5"/>
      <c r="CX119" s="5"/>
      <c r="CY119" s="5"/>
      <c r="CZ119" s="5"/>
      <c r="DA119" s="5"/>
      <c r="DB119" s="5"/>
      <c r="DC119" s="5"/>
      <c r="DD119" s="5"/>
      <c r="DE119" s="5"/>
      <c r="DF119" s="5"/>
      <c r="DG119" s="5"/>
      <c r="DH119" s="5"/>
      <c r="DI119" s="5"/>
      <c r="DJ119" s="5"/>
    </row>
    <row r="120" spans="1:114" x14ac:dyDescent="0.25">
      <c r="A120" s="5"/>
      <c r="B120" s="5"/>
      <c r="C120" s="5"/>
      <c r="D120" s="1"/>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4"/>
      <c r="AI120" s="4"/>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c r="CW120" s="5"/>
      <c r="CX120" s="5"/>
      <c r="CY120" s="5"/>
      <c r="CZ120" s="5"/>
      <c r="DA120" s="5"/>
      <c r="DB120" s="5"/>
      <c r="DC120" s="5"/>
      <c r="DD120" s="5"/>
      <c r="DE120" s="5"/>
      <c r="DF120" s="5"/>
      <c r="DG120" s="5"/>
      <c r="DH120" s="5"/>
      <c r="DI120" s="5"/>
      <c r="DJ120" s="5"/>
    </row>
    <row r="121" spans="1:114"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8"/>
      <c r="AI121" s="8"/>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c r="CW121" s="5"/>
      <c r="CX121" s="5"/>
      <c r="CY121" s="5"/>
      <c r="CZ121" s="5"/>
      <c r="DA121" s="5"/>
      <c r="DB121" s="5"/>
      <c r="DC121" s="5"/>
      <c r="DD121" s="5"/>
      <c r="DE121" s="5"/>
      <c r="DF121" s="5"/>
      <c r="DG121" s="5"/>
      <c r="DH121" s="5"/>
      <c r="DI121" s="5"/>
      <c r="DJ121" s="5"/>
    </row>
    <row r="122" spans="1:114"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8"/>
      <c r="AI122" s="8"/>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c r="CW122" s="5"/>
      <c r="CX122" s="5"/>
      <c r="CY122" s="5"/>
      <c r="CZ122" s="5"/>
      <c r="DA122" s="5"/>
      <c r="DB122" s="5"/>
      <c r="DC122" s="5"/>
      <c r="DD122" s="5"/>
      <c r="DE122" s="5"/>
      <c r="DF122" s="5"/>
      <c r="DG122" s="5"/>
      <c r="DH122" s="5"/>
      <c r="DI122" s="5"/>
      <c r="DJ122" s="5"/>
    </row>
    <row r="123" spans="1:114"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8"/>
      <c r="AI123" s="8"/>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c r="DI123" s="5"/>
      <c r="DJ123" s="5"/>
    </row>
    <row r="124" spans="1:114"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8"/>
      <c r="AI124" s="8"/>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c r="CW124" s="5"/>
      <c r="CX124" s="5"/>
      <c r="CY124" s="5"/>
      <c r="CZ124" s="5"/>
      <c r="DA124" s="5"/>
      <c r="DB124" s="5"/>
      <c r="DC124" s="5"/>
      <c r="DD124" s="5"/>
      <c r="DE124" s="5"/>
      <c r="DF124" s="5"/>
      <c r="DG124" s="5"/>
      <c r="DH124" s="5"/>
      <c r="DI124" s="5"/>
      <c r="DJ124" s="5"/>
    </row>
    <row r="125" spans="1:114" x14ac:dyDescent="0.25">
      <c r="D125" s="5"/>
      <c r="AH125" s="8"/>
      <c r="AI125" s="8"/>
    </row>
    <row r="126" spans="1:114" x14ac:dyDescent="0.25">
      <c r="D126" s="5"/>
      <c r="AH126" s="8"/>
      <c r="AI126" s="8"/>
    </row>
    <row r="127" spans="1:114" x14ac:dyDescent="0.25">
      <c r="D127" s="5"/>
      <c r="AH127" s="5"/>
      <c r="AI127" s="5"/>
    </row>
    <row r="128" spans="1:114" x14ac:dyDescent="0.25">
      <c r="D128" s="5"/>
      <c r="AH128" s="5"/>
      <c r="AI128" s="5"/>
    </row>
    <row r="129" spans="4:35" x14ac:dyDescent="0.25">
      <c r="D129" s="5"/>
      <c r="AH129" s="5"/>
      <c r="AI129" s="5"/>
    </row>
    <row r="130" spans="4:35" x14ac:dyDescent="0.25">
      <c r="D130" s="5"/>
      <c r="AH130" s="5"/>
      <c r="AI130" s="5"/>
    </row>
    <row r="131" spans="4:35" x14ac:dyDescent="0.25">
      <c r="D131" s="5"/>
      <c r="AH131" s="5"/>
      <c r="AI131" s="5"/>
    </row>
    <row r="132" spans="4:35" x14ac:dyDescent="0.25">
      <c r="D132" s="5"/>
      <c r="AH132" s="5"/>
      <c r="AI132" s="5"/>
    </row>
  </sheetData>
  <mergeCells count="10">
    <mergeCell ref="L16:N16"/>
    <mergeCell ref="H3:K3"/>
    <mergeCell ref="A1:AG1"/>
    <mergeCell ref="AB2:AD3"/>
    <mergeCell ref="O3:V3"/>
    <mergeCell ref="H2:V2"/>
    <mergeCell ref="AE2:AI3"/>
    <mergeCell ref="W2:AA3"/>
    <mergeCell ref="L3:N3"/>
    <mergeCell ref="B2:G3"/>
  </mergeCells>
  <pageMargins left="0.7" right="0.7" top="0.75" bottom="0.75" header="0.3" footer="0.3"/>
  <pageSetup orientation="portrait" r:id="rId1"/>
  <ignoredErrors>
    <ignoredError sqref="E8:E9 E12:E15"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A1:DJ132"/>
  <sheetViews>
    <sheetView showGridLines="0" topLeftCell="C22" workbookViewId="0">
      <selection activeCell="L16" sqref="L16:N16"/>
    </sheetView>
  </sheetViews>
  <sheetFormatPr defaultColWidth="11.42578125" defaultRowHeight="15" x14ac:dyDescent="0.25"/>
  <cols>
    <col min="1" max="1" width="7.140625" style="13" customWidth="1"/>
    <col min="2" max="4" width="14.140625" style="13" customWidth="1"/>
    <col min="5" max="7" width="15.5703125" style="13" customWidth="1"/>
    <col min="8" max="11" width="13" style="13" customWidth="1"/>
    <col min="12" max="12" width="15.7109375" style="13" customWidth="1"/>
    <col min="13" max="14" width="16.85546875" style="13" customWidth="1"/>
    <col min="15" max="16" width="16.28515625" style="13" customWidth="1"/>
    <col min="17" max="18" width="15.5703125" style="13" customWidth="1"/>
    <col min="19" max="19" width="23.7109375" style="13" customWidth="1"/>
    <col min="20" max="20" width="16.7109375" style="13" customWidth="1"/>
    <col min="21" max="21" width="19.5703125" style="13" customWidth="1"/>
    <col min="22" max="22" width="18.85546875" style="13" customWidth="1"/>
    <col min="23" max="23" width="16.5703125" style="13" customWidth="1"/>
    <col min="24" max="24" width="19.140625" style="13" customWidth="1"/>
    <col min="25" max="25" width="15.5703125" style="13" customWidth="1"/>
    <col min="26" max="26" width="13.85546875" style="13" customWidth="1"/>
    <col min="27" max="27" width="13" style="13" customWidth="1"/>
    <col min="28" max="28" width="13.140625" style="13" customWidth="1"/>
    <col min="29" max="29" width="16.5703125" style="13" customWidth="1"/>
    <col min="30" max="30" width="13.140625" style="13" customWidth="1"/>
    <col min="31" max="31" width="8.28515625" style="13" customWidth="1"/>
    <col min="32" max="32" width="11.42578125" style="13"/>
    <col min="33" max="33" width="15.7109375" style="13" bestFit="1" customWidth="1"/>
    <col min="34" max="34" width="17.140625" style="13" customWidth="1"/>
    <col min="35" max="35" width="17.5703125" style="13" customWidth="1"/>
    <col min="36" max="16384" width="11.42578125" style="13"/>
  </cols>
  <sheetData>
    <row r="1" spans="1:114" ht="36.75" customHeight="1" x14ac:dyDescent="0.25">
      <c r="A1" s="184" t="s">
        <v>304</v>
      </c>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07"/>
      <c r="AI1" s="107"/>
    </row>
    <row r="2" spans="1:114" ht="14.45" customHeight="1" x14ac:dyDescent="0.25">
      <c r="A2" s="16" t="s">
        <v>25</v>
      </c>
      <c r="B2" s="168" t="s">
        <v>68</v>
      </c>
      <c r="C2" s="169"/>
      <c r="D2" s="169"/>
      <c r="E2" s="169"/>
      <c r="F2" s="170"/>
      <c r="G2" s="72"/>
      <c r="H2" s="165" t="s">
        <v>116</v>
      </c>
      <c r="I2" s="166"/>
      <c r="J2" s="166"/>
      <c r="K2" s="166"/>
      <c r="L2" s="166"/>
      <c r="M2" s="166"/>
      <c r="N2" s="166"/>
      <c r="O2" s="166"/>
      <c r="P2" s="166"/>
      <c r="Q2" s="166"/>
      <c r="R2" s="166"/>
      <c r="S2" s="166"/>
      <c r="T2" s="166"/>
      <c r="U2" s="166"/>
      <c r="V2" s="166"/>
      <c r="W2" s="179" t="s">
        <v>39</v>
      </c>
      <c r="X2" s="179"/>
      <c r="Y2" s="179"/>
      <c r="Z2" s="179"/>
      <c r="AA2" s="179"/>
      <c r="AB2" s="186" t="s">
        <v>79</v>
      </c>
      <c r="AC2" s="186"/>
      <c r="AD2" s="187"/>
      <c r="AE2" s="174" t="s">
        <v>40</v>
      </c>
      <c r="AF2" s="175"/>
      <c r="AG2" s="175"/>
      <c r="AH2" s="175"/>
      <c r="AI2" s="175"/>
    </row>
    <row r="3" spans="1:114" s="37" customFormat="1" ht="35.25" customHeight="1" x14ac:dyDescent="0.25">
      <c r="A3" s="36"/>
      <c r="B3" s="171"/>
      <c r="C3" s="172"/>
      <c r="D3" s="172"/>
      <c r="E3" s="172"/>
      <c r="F3" s="173"/>
      <c r="G3" s="73"/>
      <c r="H3" s="162" t="s">
        <v>94</v>
      </c>
      <c r="I3" s="163"/>
      <c r="J3" s="163"/>
      <c r="K3" s="163"/>
      <c r="L3" s="190" t="s">
        <v>107</v>
      </c>
      <c r="M3" s="191"/>
      <c r="N3" s="192"/>
      <c r="O3" s="190" t="s">
        <v>99</v>
      </c>
      <c r="P3" s="191"/>
      <c r="Q3" s="191"/>
      <c r="R3" s="191"/>
      <c r="S3" s="191"/>
      <c r="T3" s="191"/>
      <c r="U3" s="191"/>
      <c r="V3" s="191"/>
      <c r="W3" s="181"/>
      <c r="X3" s="181"/>
      <c r="Y3" s="181"/>
      <c r="Z3" s="181"/>
      <c r="AA3" s="181"/>
      <c r="AB3" s="188"/>
      <c r="AC3" s="188"/>
      <c r="AD3" s="189"/>
      <c r="AE3" s="176"/>
      <c r="AF3" s="177"/>
      <c r="AG3" s="177"/>
      <c r="AH3" s="177"/>
      <c r="AI3" s="177"/>
    </row>
    <row r="4" spans="1:114" s="9" customFormat="1" ht="67.5" x14ac:dyDescent="0.2">
      <c r="A4" s="17" t="s">
        <v>43</v>
      </c>
      <c r="B4" s="18" t="s">
        <v>31</v>
      </c>
      <c r="C4" s="18" t="s">
        <v>59</v>
      </c>
      <c r="D4" s="18" t="s">
        <v>31</v>
      </c>
      <c r="E4" s="18" t="s">
        <v>31</v>
      </c>
      <c r="F4" s="18" t="s">
        <v>31</v>
      </c>
      <c r="G4" s="18" t="s">
        <v>250</v>
      </c>
      <c r="H4" s="34" t="s">
        <v>95</v>
      </c>
      <c r="I4" s="34" t="s">
        <v>95</v>
      </c>
      <c r="J4" s="34" t="s">
        <v>95</v>
      </c>
      <c r="K4" s="34" t="s">
        <v>95</v>
      </c>
      <c r="L4" s="34" t="s">
        <v>338</v>
      </c>
      <c r="M4" s="34" t="s">
        <v>338</v>
      </c>
      <c r="N4" s="34" t="s">
        <v>237</v>
      </c>
      <c r="O4" s="34" t="s">
        <v>322</v>
      </c>
      <c r="P4" s="34" t="s">
        <v>238</v>
      </c>
      <c r="Q4" s="34" t="s">
        <v>100</v>
      </c>
      <c r="R4" s="34" t="s">
        <v>100</v>
      </c>
      <c r="S4" s="34" t="s">
        <v>215</v>
      </c>
      <c r="T4" s="34" t="s">
        <v>138</v>
      </c>
      <c r="U4" s="34" t="s">
        <v>122</v>
      </c>
      <c r="V4" s="34" t="s">
        <v>122</v>
      </c>
      <c r="W4" s="19" t="s">
        <v>216</v>
      </c>
      <c r="X4" s="19" t="s">
        <v>130</v>
      </c>
      <c r="Y4" s="19" t="s">
        <v>31</v>
      </c>
      <c r="Z4" s="19" t="s">
        <v>49</v>
      </c>
      <c r="AA4" s="19" t="s">
        <v>48</v>
      </c>
      <c r="AB4" s="29" t="s">
        <v>233</v>
      </c>
      <c r="AC4" s="29" t="s">
        <v>233</v>
      </c>
      <c r="AD4" s="29" t="s">
        <v>233</v>
      </c>
      <c r="AE4" s="26" t="s">
        <v>19</v>
      </c>
      <c r="AF4" s="26" t="s">
        <v>4</v>
      </c>
      <c r="AG4" s="26" t="s">
        <v>4</v>
      </c>
      <c r="AH4" s="26" t="s">
        <v>234</v>
      </c>
      <c r="AI4" s="26" t="s">
        <v>232</v>
      </c>
    </row>
    <row r="5" spans="1:114" s="12" customFormat="1" ht="63.75" x14ac:dyDescent="0.25">
      <c r="A5" s="10" t="s">
        <v>0</v>
      </c>
      <c r="B5" s="11" t="s">
        <v>50</v>
      </c>
      <c r="C5" s="11" t="s">
        <v>11</v>
      </c>
      <c r="D5" s="11" t="s">
        <v>133</v>
      </c>
      <c r="E5" s="11" t="s">
        <v>60</v>
      </c>
      <c r="F5" s="11" t="s">
        <v>61</v>
      </c>
      <c r="G5" s="11" t="s">
        <v>251</v>
      </c>
      <c r="H5" s="11" t="s">
        <v>96</v>
      </c>
      <c r="I5" s="11" t="s">
        <v>97</v>
      </c>
      <c r="J5" s="11" t="s">
        <v>98</v>
      </c>
      <c r="K5" s="11" t="s">
        <v>101</v>
      </c>
      <c r="L5" s="11" t="s">
        <v>327</v>
      </c>
      <c r="M5" s="11" t="s">
        <v>328</v>
      </c>
      <c r="N5" s="109" t="s">
        <v>236</v>
      </c>
      <c r="O5" s="11" t="s">
        <v>240</v>
      </c>
      <c r="P5" s="11" t="s">
        <v>239</v>
      </c>
      <c r="Q5" s="11" t="s">
        <v>104</v>
      </c>
      <c r="R5" s="11" t="s">
        <v>212</v>
      </c>
      <c r="S5" s="11" t="s">
        <v>214</v>
      </c>
      <c r="T5" s="11" t="s">
        <v>126</v>
      </c>
      <c r="U5" s="11" t="s">
        <v>125</v>
      </c>
      <c r="V5" s="11" t="s">
        <v>137</v>
      </c>
      <c r="W5" s="11" t="s">
        <v>136</v>
      </c>
      <c r="X5" s="11" t="s">
        <v>217</v>
      </c>
      <c r="Y5" s="11" t="s">
        <v>88</v>
      </c>
      <c r="Z5" s="11" t="s">
        <v>14</v>
      </c>
      <c r="AA5" s="11" t="s">
        <v>15</v>
      </c>
      <c r="AB5" s="11" t="s">
        <v>45</v>
      </c>
      <c r="AC5" s="11" t="s">
        <v>82</v>
      </c>
      <c r="AD5" s="11" t="s">
        <v>83</v>
      </c>
      <c r="AE5" s="11" t="s">
        <v>26</v>
      </c>
      <c r="AF5" s="11" t="s">
        <v>16</v>
      </c>
      <c r="AG5" s="11" t="s">
        <v>17</v>
      </c>
      <c r="AH5" s="11" t="s">
        <v>227</v>
      </c>
      <c r="AI5" s="11" t="s">
        <v>141</v>
      </c>
    </row>
    <row r="6" spans="1:114" s="12" customFormat="1" ht="12.75" x14ac:dyDescent="0.25">
      <c r="A6" s="10" t="s">
        <v>9</v>
      </c>
      <c r="B6" s="11" t="s">
        <v>51</v>
      </c>
      <c r="C6" s="11" t="s">
        <v>10</v>
      </c>
      <c r="D6" s="11" t="s">
        <v>134</v>
      </c>
      <c r="E6" s="11" t="s">
        <v>33</v>
      </c>
      <c r="F6" s="11" t="s">
        <v>30</v>
      </c>
      <c r="G6" s="11" t="s">
        <v>129</v>
      </c>
      <c r="H6" s="11" t="s">
        <v>84</v>
      </c>
      <c r="I6" s="11" t="s">
        <v>85</v>
      </c>
      <c r="J6" s="11" t="s">
        <v>86</v>
      </c>
      <c r="K6" s="11" t="s">
        <v>106</v>
      </c>
      <c r="L6" s="11" t="s">
        <v>89</v>
      </c>
      <c r="M6" s="11" t="s">
        <v>90</v>
      </c>
      <c r="N6" s="11" t="s">
        <v>235</v>
      </c>
      <c r="O6" s="11" t="s">
        <v>121</v>
      </c>
      <c r="P6" s="11" t="s">
        <v>121</v>
      </c>
      <c r="Q6" s="11" t="s">
        <v>105</v>
      </c>
      <c r="R6" s="11" t="s">
        <v>213</v>
      </c>
      <c r="S6" s="11" t="s">
        <v>115</v>
      </c>
      <c r="T6" s="11" t="s">
        <v>127</v>
      </c>
      <c r="U6" s="11" t="s">
        <v>87</v>
      </c>
      <c r="V6" s="11" t="s">
        <v>119</v>
      </c>
      <c r="W6" s="11" t="s">
        <v>128</v>
      </c>
      <c r="X6" s="11" t="s">
        <v>62</v>
      </c>
      <c r="Y6" s="11" t="s">
        <v>24</v>
      </c>
      <c r="Z6" s="11" t="s">
        <v>135</v>
      </c>
      <c r="AA6" s="11" t="s">
        <v>23</v>
      </c>
      <c r="AB6" s="11" t="s">
        <v>44</v>
      </c>
      <c r="AC6" s="11" t="s">
        <v>47</v>
      </c>
      <c r="AD6" s="11" t="s">
        <v>13</v>
      </c>
      <c r="AE6" s="11" t="s">
        <v>18</v>
      </c>
      <c r="AF6" s="11" t="s">
        <v>20</v>
      </c>
      <c r="AG6" s="11" t="s">
        <v>21</v>
      </c>
      <c r="AH6" s="11" t="s">
        <v>228</v>
      </c>
      <c r="AI6" s="11" t="s">
        <v>142</v>
      </c>
    </row>
    <row r="7" spans="1:114" x14ac:dyDescent="0.25">
      <c r="A7" s="22">
        <v>2010</v>
      </c>
      <c r="B7" s="28">
        <f>Parameters!$C$3</f>
        <v>2.3E-2</v>
      </c>
      <c r="C7" s="28">
        <f>Parameters!$C$5</f>
        <v>46.486621</v>
      </c>
      <c r="D7" s="70">
        <f>Parameters!$C$19</f>
        <v>0.1</v>
      </c>
      <c r="E7" s="21">
        <f>Parameters!$C$7</f>
        <v>7.9000000000000001E-2</v>
      </c>
      <c r="F7" s="24">
        <f>Parameters!$C$6</f>
        <v>3.8</v>
      </c>
      <c r="G7" s="116">
        <f>11614/10</f>
        <v>1161.4000000000001</v>
      </c>
      <c r="H7" s="14">
        <f>Parameters!L54</f>
        <v>5559.3172086930372</v>
      </c>
      <c r="I7" s="14">
        <f>Parameters!M54</f>
        <v>30473.280877728444</v>
      </c>
      <c r="J7" s="14">
        <f>Parameters!N54</f>
        <v>47720.347945502341</v>
      </c>
      <c r="K7" s="14">
        <f>Parameters!O54</f>
        <v>166313.54618313035</v>
      </c>
      <c r="L7" s="14">
        <f>'LCOE Sensitivity Analysis'!L81+Parameters!$C$26</f>
        <v>55.392867498220582</v>
      </c>
      <c r="M7" s="14">
        <f>'LCOE Sensitivity Analysis'!M81+Parameters!$C$26</f>
        <v>73.77560210532711</v>
      </c>
      <c r="N7" s="111">
        <f>Parameters!P54</f>
        <v>36032598.086421482</v>
      </c>
      <c r="O7" s="112">
        <f>((((((L7*H7)+(M7*I7))*Parameters!$C$24)/1000000)*N7)/1000000)-BAU!Q7</f>
        <v>2.386951233447121E-2</v>
      </c>
      <c r="P7" s="112">
        <f>(((L7*Parameters!L54)+(M7*Parameters!M54))*Parameters!$C$24)/1000000</f>
        <v>2.408131171866267</v>
      </c>
      <c r="Q7" s="39">
        <f>(H7+I7)/Parameters!B39</f>
        <v>0.12078505660505993</v>
      </c>
      <c r="R7" s="39">
        <f>Parameters!O54/Parameters!B54</f>
        <v>0.55750049002122004</v>
      </c>
      <c r="S7" s="113">
        <f>(IF(Q7-BAU!N7 &lt; 0, 0, Q7-BAU!N7))+(IF(BAU!O7-R7 &lt; 0,  0, BAU!O7-R7))</f>
        <v>8.4784719799987918E-5</v>
      </c>
      <c r="T7" s="39">
        <f>S7</f>
        <v>8.4784719799987918E-5</v>
      </c>
      <c r="U7" s="32">
        <f>Parameters!$C$30</f>
        <v>0.06</v>
      </c>
      <c r="V7" s="75">
        <f>U7*(T7^Parameters!$C$31)</f>
        <v>2.3847370562931092E-13</v>
      </c>
      <c r="W7" s="21">
        <f>R7</f>
        <v>0.55750049002122004</v>
      </c>
      <c r="X7" s="21">
        <f t="shared" ref="X7:X15" si="0">(1-T7)*W7*G7</f>
        <v>647.4261726096247</v>
      </c>
      <c r="Y7" s="20">
        <f>Parameters!$C$11</f>
        <v>530</v>
      </c>
      <c r="Z7" s="23">
        <f>Y7*Parameters!$C$13</f>
        <v>0.95399999999999996</v>
      </c>
      <c r="AA7" s="32">
        <f>1/(1+((Z7/20.46)^2)+((Z7/6081)^6754))</f>
        <v>0.99783058667694802</v>
      </c>
      <c r="AB7" s="28">
        <f>((Parameters!$C$18*F7*AA7)/(D7+B7))^(1/(1-Parameters!$C$21))</f>
        <v>8.8483217392581075</v>
      </c>
      <c r="AC7" s="24">
        <f>(1-V7)*AA7*F7*(AB7^Parameters!$C$21)</f>
        <v>9.0695297827373995</v>
      </c>
      <c r="AD7" s="23">
        <f>(1-Parameters!$C$18)*AC7</f>
        <v>7.9811862088089116</v>
      </c>
      <c r="AE7" s="30">
        <f>LN(AD7)</f>
        <v>2.0770870481351547</v>
      </c>
      <c r="AF7" s="23">
        <f>1/(1+Parameters!$C$22*(A7-$A$7))</f>
        <v>1</v>
      </c>
      <c r="AG7" s="30">
        <f t="shared" ref="AG7:AG15" si="1">C7*AE7*AF7</f>
        <v>96.556758390667696</v>
      </c>
      <c r="AH7" s="30">
        <f>BAU!AF7</f>
        <v>9.1024174870568153</v>
      </c>
      <c r="AI7" s="30">
        <f t="shared" ref="AI7:AI15" si="2">(AC7-AH7)*C7</f>
        <v>-1.5288382462567447</v>
      </c>
      <c r="AJ7" s="4"/>
      <c r="AK7" s="4"/>
      <c r="AL7" s="4"/>
      <c r="AM7" s="1"/>
      <c r="AN7" s="1"/>
      <c r="AO7" s="1"/>
      <c r="AP7" s="1"/>
      <c r="AQ7" s="1"/>
      <c r="AR7" s="1"/>
      <c r="AS7" s="1"/>
      <c r="AT7" s="1"/>
      <c r="AU7" s="1"/>
      <c r="AV7" s="1"/>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row>
    <row r="8" spans="1:114" x14ac:dyDescent="0.25">
      <c r="A8" s="22">
        <v>2015</v>
      </c>
      <c r="B8" s="27">
        <f>B7/(1+Parameters!$C$4)</f>
        <v>2.1863117870722433E-2</v>
      </c>
      <c r="C8" s="28">
        <f t="shared" ref="C8:C15" si="3">C7*(1+B8)</f>
        <v>47.502963474334599</v>
      </c>
      <c r="D8" s="70">
        <f>Parameters!$C$19+(Parameters!$C$20*S8)</f>
        <v>0.10001390376979419</v>
      </c>
      <c r="E8" s="25">
        <f>($E$7/((1+Parameters!$C$8)^(A8-$A$7)))-Parameters!$C$9*Z8</f>
        <v>7.541800853720422E-2</v>
      </c>
      <c r="F8" s="24">
        <f>F7*(1+E8)</f>
        <v>4.0865884324413759</v>
      </c>
      <c r="G8" s="116">
        <v>1221.3</v>
      </c>
      <c r="H8" s="14">
        <f>Parameters!L55</f>
        <v>8406.2977035764925</v>
      </c>
      <c r="I8" s="14">
        <f>Parameters!M55</f>
        <v>43620.965196725607</v>
      </c>
      <c r="J8" s="14">
        <f>Parameters!N55</f>
        <v>37889.206829909628</v>
      </c>
      <c r="K8" s="14">
        <f>Parameters!O55</f>
        <v>141517.96380639906</v>
      </c>
      <c r="L8" s="14">
        <f>'LCOE Sensitivity Analysis'!L82+Parameters!$C$26</f>
        <v>54.305942309716542</v>
      </c>
      <c r="M8" s="14">
        <f>'LCOE Sensitivity Analysis'!M82+Parameters!$C$26</f>
        <v>73.070374361710009</v>
      </c>
      <c r="N8" s="111">
        <f>Parameters!P55</f>
        <v>52027262.900302097</v>
      </c>
      <c r="O8" s="112">
        <f>((((((L8*H8)+(M8*I8))*Parameters!$C$24)/1000000)*N8)/1000000)-BAU!Q8</f>
        <v>12.381742526313388</v>
      </c>
      <c r="P8" s="112">
        <f>(((L8*Parameters!L55)+(M8*Parameters!M55))*Parameters!$C$24)/1000000</f>
        <v>3.4329296601358879</v>
      </c>
      <c r="Q8" s="39">
        <f>(H8+I8)/Parameters!B40</f>
        <v>0.1865892773006082</v>
      </c>
      <c r="R8" s="39">
        <f>Parameters!O55/Parameters!B55</f>
        <v>0.50753649374732535</v>
      </c>
      <c r="S8" s="113">
        <f>(IF(Q8-BAU!N8 &lt; 0, 0, Q8-BAU!N8))+(IF(BAU!O8-R8 &lt; 0,  0, BAU!O8-R8))</f>
        <v>1.3903769794187754E-2</v>
      </c>
      <c r="T8" s="39">
        <f t="shared" ref="T8:T15" si="4">S8</f>
        <v>1.3903769794187754E-2</v>
      </c>
      <c r="U8" s="32">
        <f t="shared" ref="U8:U15" si="5">U7*(1+(-E8))</f>
        <v>5.547491948776774E-2</v>
      </c>
      <c r="V8" s="75">
        <f>U8*(T8^Parameters!$C$31)</f>
        <v>3.5064517920997509E-7</v>
      </c>
      <c r="W8" s="21">
        <f t="shared" ref="W8:W14" si="6">R8</f>
        <v>0.50753649374732535</v>
      </c>
      <c r="X8" s="21">
        <f t="shared" si="0"/>
        <v>611.2360080449871</v>
      </c>
      <c r="Y8" s="20">
        <f>Y7+(X8/Parameters!$C$12)</f>
        <v>696.70072946681466</v>
      </c>
      <c r="Z8" s="23">
        <f>Y8*Parameters!$C$13</f>
        <v>1.2540613130402665</v>
      </c>
      <c r="AA8" s="32">
        <f t="shared" ref="AA8:AA15" si="7">1/(1+((Z8/20.46)^2)+((Z8/6081)^6754))</f>
        <v>0.99625719026155024</v>
      </c>
      <c r="AB8" s="28">
        <f>((Parameters!$C$18*F8*AA8)/(D8+B8))^(1/(1-Parameters!$C$21))</f>
        <v>10.115475579960291</v>
      </c>
      <c r="AC8" s="24">
        <f>(1-V8)*AA8*F8*(AB8^Parameters!$C$21)</f>
        <v>10.27369669893433</v>
      </c>
      <c r="AD8" s="23">
        <f>(1-Parameters!$C$18)*AC8</f>
        <v>9.0408530950622108</v>
      </c>
      <c r="AE8" s="30">
        <f t="shared" ref="AE8:AE15" si="8">LN(AD8)</f>
        <v>2.2017535388744296</v>
      </c>
      <c r="AF8" s="23">
        <f>1/(1+Parameters!$C$22*(A8-$A$7))</f>
        <v>0.93023255813953487</v>
      </c>
      <c r="AG8" s="30">
        <f t="shared" si="1"/>
        <v>97.292853894547889</v>
      </c>
      <c r="AH8" s="30">
        <f>BAU!AF8</f>
        <v>10.358997143018955</v>
      </c>
      <c r="AI8" s="30">
        <f t="shared" si="2"/>
        <v>-4.0520238796964732</v>
      </c>
      <c r="AJ8" s="4"/>
      <c r="AK8" s="4"/>
      <c r="AL8" s="4"/>
      <c r="AM8" s="1"/>
      <c r="AN8" s="1"/>
      <c r="AO8" s="1"/>
      <c r="AP8" s="1"/>
      <c r="AQ8" s="1"/>
      <c r="AR8" s="1"/>
      <c r="AS8" s="1"/>
      <c r="AT8" s="1"/>
      <c r="AU8" s="1"/>
      <c r="AV8" s="1"/>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row>
    <row r="9" spans="1:114" x14ac:dyDescent="0.25">
      <c r="A9" s="22">
        <v>2020</v>
      </c>
      <c r="B9" s="27">
        <f>B8/(1+Parameters!$C$4)</f>
        <v>2.0782431436047938E-2</v>
      </c>
      <c r="C9" s="28">
        <f t="shared" si="3"/>
        <v>48.490190555749045</v>
      </c>
      <c r="D9" s="70">
        <f>Parameters!$C$19+(Parameters!$C$20*S9)</f>
        <v>0.10004202165269881</v>
      </c>
      <c r="E9" s="25">
        <f>($E$7/((1+Parameters!$C$8)^(A9-$A$7)))-Parameters!$C$9*Z9</f>
        <v>7.292269623756871E-2</v>
      </c>
      <c r="F9" s="24">
        <f>F8*(1+E9)</f>
        <v>4.3845934793482604</v>
      </c>
      <c r="G9" s="116">
        <v>1227.2</v>
      </c>
      <c r="H9" s="14">
        <f>Parameters!L56</f>
        <v>13748.398137477629</v>
      </c>
      <c r="I9" s="14">
        <f>Parameters!M56</f>
        <v>59277.541479991487</v>
      </c>
      <c r="J9" s="14">
        <f>Parameters!N56</f>
        <v>29881.531838158284</v>
      </c>
      <c r="K9" s="14">
        <f>Parameters!O56</f>
        <v>100767.29344666607</v>
      </c>
      <c r="L9" s="14">
        <f>'LCOE Sensitivity Analysis'!L83+Parameters!$C$26</f>
        <v>53.241373075138632</v>
      </c>
      <c r="M9" s="14">
        <f>'LCOE Sensitivity Analysis'!M83+Parameters!$C$26</f>
        <v>72.372129071000003</v>
      </c>
      <c r="N9" s="111">
        <f>Parameters!P56</f>
        <v>73025939.617469117</v>
      </c>
      <c r="O9" s="112">
        <f>((((((L9*H9)+(M9*I9))*Parameters!$C$24)/1000000)*N9)/1000000)-BAU!Q9</f>
        <v>51.374995810968699</v>
      </c>
      <c r="P9" s="112">
        <f>(((L9*Parameters!L56)+(M9*Parameters!M56))*Parameters!$C$24)/1000000</f>
        <v>4.7312502022816112</v>
      </c>
      <c r="Q9" s="39">
        <f>(H9+I9)/Parameters!B41</f>
        <v>0.29632023482072567</v>
      </c>
      <c r="R9" s="39">
        <f>Parameters!O56/Parameters!B56</f>
        <v>0.40888742017942015</v>
      </c>
      <c r="S9" s="113">
        <f>(IF(Q9-BAU!N9 &lt; 0, 0, Q9-BAU!N9))+(IF(BAU!O9-R9 &lt; 0,  0, BAU!O9-R9))</f>
        <v>4.2021652698800704E-2</v>
      </c>
      <c r="T9" s="39">
        <f t="shared" si="4"/>
        <v>4.2021652698800704E-2</v>
      </c>
      <c r="U9" s="32">
        <f t="shared" si="5"/>
        <v>5.1429538785157672E-2</v>
      </c>
      <c r="V9" s="75">
        <f>U9*(T9^Parameters!$C$31)</f>
        <v>7.1934526794887971E-6</v>
      </c>
      <c r="W9" s="21">
        <f t="shared" si="6"/>
        <v>0.40888742017942015</v>
      </c>
      <c r="X9" s="21">
        <f t="shared" si="0"/>
        <v>480.70073804330633</v>
      </c>
      <c r="Y9" s="20">
        <f>Y8+(X9/Parameters!$C$12)</f>
        <v>827.80093075135278</v>
      </c>
      <c r="Z9" s="23">
        <f>Y9*Parameters!$C$13</f>
        <v>1.490041675352435</v>
      </c>
      <c r="AA9" s="32">
        <f t="shared" si="7"/>
        <v>0.99472420081694668</v>
      </c>
      <c r="AB9" s="28">
        <f>((Parameters!$C$18*F9*AA9)/(D9+B9))^(1/(1-Parameters!$C$21))</f>
        <v>11.510584472736785</v>
      </c>
      <c r="AC9" s="24">
        <f>(1-V9)*AA9*F9*(AB9^Parameters!$C$21)</f>
        <v>11.589583910695538</v>
      </c>
      <c r="AD9" s="23">
        <f>(1-Parameters!$C$18)*AC9</f>
        <v>10.198833841412073</v>
      </c>
      <c r="AE9" s="30">
        <f t="shared" si="8"/>
        <v>2.3222733844808094</v>
      </c>
      <c r="AF9" s="23">
        <f>1/(1+Parameters!$C$22*(A9-$A$7))</f>
        <v>0.86956521739130443</v>
      </c>
      <c r="AG9" s="30">
        <f t="shared" si="1"/>
        <v>97.919546900885862</v>
      </c>
      <c r="AH9" s="30">
        <f>BAU!AF9</f>
        <v>11.74488149448006</v>
      </c>
      <c r="AI9" s="30">
        <f t="shared" si="2"/>
        <v>-7.530409430558878</v>
      </c>
      <c r="AJ9" s="4"/>
      <c r="AK9" s="4"/>
      <c r="AL9" s="4"/>
      <c r="AM9" s="1"/>
      <c r="AN9" s="1"/>
      <c r="AO9" s="1"/>
      <c r="AP9" s="1"/>
      <c r="AQ9" s="1"/>
      <c r="AR9" s="1"/>
      <c r="AS9" s="1"/>
      <c r="AT9" s="1"/>
      <c r="AU9" s="1"/>
      <c r="AV9" s="1"/>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row>
    <row r="10" spans="1:114" ht="21.6" customHeight="1" x14ac:dyDescent="0.25">
      <c r="A10" s="22">
        <v>2025</v>
      </c>
      <c r="B10" s="27">
        <f>B9/(1+Parameters!$C$4)</f>
        <v>1.9755162962022753E-2</v>
      </c>
      <c r="C10" s="28">
        <f t="shared" si="3"/>
        <v>49.448122172237404</v>
      </c>
      <c r="D10" s="70">
        <f>Parameters!$C$19+(Parameters!$C$20*S10)</f>
        <v>0.1000977791334061</v>
      </c>
      <c r="E10" s="25">
        <f>($E$7/((1+Parameters!$C$8)^(A10-$A$7)))-Parameters!$C$9*Z10</f>
        <v>7.0505916920800202E-2</v>
      </c>
      <c r="F10" s="24">
        <f>F9*(1+E10)</f>
        <v>4.6937332629346713</v>
      </c>
      <c r="G10" s="116">
        <v>1401.8</v>
      </c>
      <c r="H10" s="14">
        <f>Parameters!L57</f>
        <v>23575.277537099944</v>
      </c>
      <c r="I10" s="14">
        <f>Parameters!M57</f>
        <v>79031.280607138498</v>
      </c>
      <c r="J10" s="14">
        <f>Parameters!N57</f>
        <v>27272.361473606685</v>
      </c>
      <c r="K10" s="14">
        <f>Parameters!O57</f>
        <v>100966.50990071571</v>
      </c>
      <c r="L10" s="14">
        <f>'LCOE Sensitivity Analysis'!L84+Parameters!$C$26</f>
        <v>52.198699975649987</v>
      </c>
      <c r="M10" s="14">
        <f>'LCOE Sensitivity Analysis'!M84+Parameters!$C$26</f>
        <v>71.680797100000007</v>
      </c>
      <c r="N10" s="111">
        <f>Parameters!P57</f>
        <v>102606558.14423844</v>
      </c>
      <c r="O10" s="112">
        <f>((((((L10*H10)+(M10*I10))*Parameters!$C$24)/1000000)*N10)/1000000)-BAU!Q10</f>
        <v>178.9830740584099</v>
      </c>
      <c r="P10" s="112">
        <f>(((L10*Parameters!L57)+(M10*Parameters!M57))*Parameters!$C$24)/1000000</f>
        <v>6.4963673974902933</v>
      </c>
      <c r="Q10" s="39">
        <f>(H10+I10)/Parameters!B42</f>
        <v>0.3666845964696584</v>
      </c>
      <c r="R10" s="39">
        <f>Parameters!O57/Parameters!B57</f>
        <v>0.36082356342027461</v>
      </c>
      <c r="S10" s="113">
        <f>(IF(Q10-BAU!N10 &lt; 0, 0, Q10-BAU!N10))+(IF(BAU!O10-R10 &lt; 0,  0, BAU!O10-R10))</f>
        <v>9.7779133406092844E-2</v>
      </c>
      <c r="T10" s="39">
        <f t="shared" si="4"/>
        <v>9.7779133406092844E-2</v>
      </c>
      <c r="U10" s="32">
        <f t="shared" si="5"/>
        <v>4.7803451996296271E-2</v>
      </c>
      <c r="V10" s="75">
        <f>U10*(T10^Parameters!$C$31)</f>
        <v>7.1145686452763715E-5</v>
      </c>
      <c r="W10" s="21">
        <f t="shared" si="6"/>
        <v>0.36082356342027461</v>
      </c>
      <c r="X10" s="21">
        <f t="shared" si="0"/>
        <v>456.34554389369623</v>
      </c>
      <c r="Y10" s="20">
        <f>Y9+(X10/Parameters!$C$12)</f>
        <v>952.25880635872454</v>
      </c>
      <c r="Z10" s="23">
        <f>Y10*Parameters!$C$13</f>
        <v>1.7140658514457041</v>
      </c>
      <c r="AA10" s="32">
        <f t="shared" si="7"/>
        <v>0.99303042490954285</v>
      </c>
      <c r="AB10" s="28">
        <f>((Parameters!$C$18*F10*AA10)/(D10+B10))^(1/(1-Parameters!$C$21))</f>
        <v>13.032343309959112</v>
      </c>
      <c r="AC10" s="24">
        <f>(1-V10)*AA10*F10*(AB10^Parameters!$C$21)</f>
        <v>13.015446342052746</v>
      </c>
      <c r="AD10" s="23">
        <f>(1-Parameters!$C$18)*AC10</f>
        <v>11.453592781006417</v>
      </c>
      <c r="AE10" s="30">
        <f t="shared" si="8"/>
        <v>2.4383034607821603</v>
      </c>
      <c r="AF10" s="23">
        <f>1/(1+Parameters!$C$22*(A10-$A$7))</f>
        <v>0.81632653061224481</v>
      </c>
      <c r="AG10" s="30">
        <f t="shared" si="1"/>
        <v>98.424104017751446</v>
      </c>
      <c r="AH10" s="30">
        <f>BAU!AF10</f>
        <v>13.267674708883096</v>
      </c>
      <c r="AI10" s="30">
        <f t="shared" si="2"/>
        <v>-12.472219098331047</v>
      </c>
      <c r="AJ10" s="4"/>
      <c r="AK10" s="4"/>
      <c r="AL10" s="4"/>
      <c r="AM10" s="1"/>
      <c r="AN10" s="1"/>
      <c r="AO10" s="1"/>
      <c r="AP10" s="1"/>
      <c r="AQ10" s="1"/>
      <c r="AR10" s="1"/>
      <c r="AS10" s="1"/>
      <c r="AT10" s="1"/>
      <c r="AU10" s="1"/>
      <c r="AV10" s="1"/>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row>
    <row r="11" spans="1:114" x14ac:dyDescent="0.25">
      <c r="A11" s="22">
        <v>2030</v>
      </c>
      <c r="B11" s="27">
        <f>B10/(1+Parameters!$C$4)</f>
        <v>1.8778672017131893E-2</v>
      </c>
      <c r="C11" s="28">
        <f>C10*(1+B11)</f>
        <v>50.376692240372918</v>
      </c>
      <c r="D11" s="70">
        <f>Parameters!$C$19+(Parameters!$C$20*S11)</f>
        <v>0.10022641139347668</v>
      </c>
      <c r="E11" s="25">
        <f>($E$7/((1+Parameters!$C$8)^(A11-$A$7)))-Parameters!$C$9*Z11</f>
        <v>6.8223104493647102E-2</v>
      </c>
      <c r="F11" s="24">
        <f t="shared" ref="F11:F14" si="9">F10*(1+E11)</f>
        <v>5.0139543177971708</v>
      </c>
      <c r="G11" s="116">
        <v>1481.4</v>
      </c>
      <c r="H11" s="14">
        <f>Parameters!L58</f>
        <v>43722.485301554501</v>
      </c>
      <c r="I11" s="14">
        <f>Parameters!M58</f>
        <v>105193.26992963694</v>
      </c>
      <c r="J11" s="14">
        <f>Parameters!N58</f>
        <v>20043.307146330913</v>
      </c>
      <c r="K11" s="14">
        <f>Parameters!O58</f>
        <v>81509.837198496054</v>
      </c>
      <c r="L11" s="14">
        <f>'LCOE Sensitivity Analysis'!L85+Parameters!$C$26</f>
        <v>51.177472649999991</v>
      </c>
      <c r="M11" s="14">
        <f>'LCOE Sensitivity Analysis'!M85+Parameters!$C$26</f>
        <v>70.996310000000008</v>
      </c>
      <c r="N11" s="111">
        <f>Parameters!P58</f>
        <v>148915755.23119143</v>
      </c>
      <c r="O11" s="112">
        <f>((((((L11*H11)+(M11*I11))*Parameters!$C$24)/1000000)*N11)/1000000)-BAU!Q11</f>
        <v>617.33225781976262</v>
      </c>
      <c r="P11" s="112">
        <f>(((L11*Parameters!L58)+(M11*Parameters!M58))*Parameters!$C$24)/1000000</f>
        <v>9.1439663543204563</v>
      </c>
      <c r="Q11" s="39">
        <f>(H11+I11)/Parameters!B43</f>
        <v>0.5022957451484964</v>
      </c>
      <c r="R11" s="39">
        <f>Parameters!O58/Parameters!B58</f>
        <v>0.27493426970832441</v>
      </c>
      <c r="S11" s="113">
        <f>(IF(Q11-BAU!N11 &lt; 0, 0, Q11-BAU!N11))+(IF(BAU!O11-R11 &lt; 0,  0, BAU!O11-R11))</f>
        <v>0.2264113934766811</v>
      </c>
      <c r="T11" s="39">
        <f t="shared" si="4"/>
        <v>0.2264113934766811</v>
      </c>
      <c r="U11" s="32">
        <f t="shared" si="5"/>
        <v>4.4542152095595908E-2</v>
      </c>
      <c r="V11" s="75">
        <f>U11*(T11^Parameters!$C$31)</f>
        <v>6.9580312341208572E-4</v>
      </c>
      <c r="W11" s="21">
        <f t="shared" si="6"/>
        <v>0.27493426970832441</v>
      </c>
      <c r="X11" s="21">
        <f t="shared" si="0"/>
        <v>315.07306793799495</v>
      </c>
      <c r="Y11" s="20">
        <f>Y10+(X11/Parameters!$C$12)</f>
        <v>1038.1878248872686</v>
      </c>
      <c r="Z11" s="23">
        <f>Y11*Parameters!$C$13</f>
        <v>1.8687380847970834</v>
      </c>
      <c r="AA11" s="32">
        <f t="shared" si="7"/>
        <v>0.99172672177259391</v>
      </c>
      <c r="AB11" s="28">
        <f>((Parameters!$C$18*F11*AA11)/(D11+B11))^(1/(1-Parameters!$C$21))</f>
        <v>14.688593151383383</v>
      </c>
      <c r="AC11" s="24">
        <f>(1-V11)*AA11*F11*(AB11^Parameters!$C$21)</f>
        <v>14.556674810836194</v>
      </c>
      <c r="AD11" s="23">
        <f>(1-Parameters!$C$18)*AC11</f>
        <v>12.809873833535852</v>
      </c>
      <c r="AE11" s="30">
        <f t="shared" si="8"/>
        <v>2.5502162667997075</v>
      </c>
      <c r="AF11" s="23">
        <f>1/(1+Parameters!$C$22*(A11-$A$7))</f>
        <v>0.76923076923076916</v>
      </c>
      <c r="AG11" s="30">
        <f t="shared" si="1"/>
        <v>98.824200014585841</v>
      </c>
      <c r="AH11" s="30">
        <f>BAU!AF11</f>
        <v>14.934834851616968</v>
      </c>
      <c r="AI11" s="30">
        <f t="shared" si="2"/>
        <v>-19.050451992019909</v>
      </c>
      <c r="AJ11" s="4"/>
      <c r="AK11" s="4"/>
      <c r="AL11" s="4"/>
      <c r="AM11" s="1"/>
      <c r="AN11" s="1"/>
      <c r="AO11" s="1"/>
      <c r="AP11" s="1"/>
      <c r="AQ11" s="1"/>
      <c r="AR11" s="1"/>
      <c r="AS11" s="1"/>
      <c r="AT11" s="1"/>
      <c r="AU11" s="1"/>
      <c r="AV11" s="1"/>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row>
    <row r="12" spans="1:114" x14ac:dyDescent="0.25">
      <c r="A12" s="22">
        <v>2035</v>
      </c>
      <c r="B12" s="27">
        <f>B11/(1+Parameters!$C$4)</f>
        <v>1.7850448685486589E-2</v>
      </c>
      <c r="C12" s="28">
        <f t="shared" si="3"/>
        <v>51.27593880015425</v>
      </c>
      <c r="D12" s="70">
        <f>Parameters!$C$19+(Parameters!$C$20*S12)</f>
        <v>0.10031737334112974</v>
      </c>
      <c r="E12" s="25">
        <f>($E$7/((1+Parameters!$C$8)^(A12-$A$7)))-Parameters!$C$9*Z12</f>
        <v>6.6041526531316549E-2</v>
      </c>
      <c r="F12" s="24">
        <f t="shared" si="9"/>
        <v>5.3450835149027816</v>
      </c>
      <c r="G12" s="116">
        <v>1574.3</v>
      </c>
      <c r="H12" s="14">
        <f>Parameters!L59</f>
        <v>56901.485786933714</v>
      </c>
      <c r="I12" s="14">
        <f>Parameters!M59</f>
        <v>118459.12846488837</v>
      </c>
      <c r="J12" s="14">
        <f>Parameters!N59</f>
        <v>15560.399481870791</v>
      </c>
      <c r="K12" s="14">
        <f>Parameters!O59</f>
        <v>67714.283811454661</v>
      </c>
      <c r="L12" s="14">
        <f>'LCOE Sensitivity Analysis'!L86+Parameters!$C$26</f>
        <v>50.177249999999994</v>
      </c>
      <c r="M12" s="14">
        <f>'LCOE Sensitivity Analysis'!M86+Parameters!$C$26</f>
        <v>70.318600000000004</v>
      </c>
      <c r="N12" s="111">
        <f>Parameters!P59</f>
        <v>175360614.25182208</v>
      </c>
      <c r="O12" s="112">
        <f>((((((L12*H12)+(M12*I12))*Parameters!$C$24)/1000000)*N12)/1000000)-BAU!Q12</f>
        <v>970.80588303520688</v>
      </c>
      <c r="P12" s="112">
        <f>(((L12*Parameters!L59)+(M12*Parameters!M59))*Parameters!$C$24)/1000000</f>
        <v>10.537426323971113</v>
      </c>
      <c r="Q12" s="39">
        <f>(H12+I12)/Parameters!B44</f>
        <v>0.57015668210272508</v>
      </c>
      <c r="R12" s="39">
        <f>Parameters!O59/Parameters!B59</f>
        <v>0.22016204467360953</v>
      </c>
      <c r="S12" s="113">
        <f>(IF(Q12-BAU!N12 &lt; 0, 0, Q12-BAU!N12))+(IF(BAU!O12-R12 &lt; 0,  0, BAU!O12-R12))</f>
        <v>0.31737334112972593</v>
      </c>
      <c r="T12" s="39">
        <f t="shared" si="4"/>
        <v>0.31737334112972593</v>
      </c>
      <c r="U12" s="32">
        <f t="shared" si="5"/>
        <v>4.1600520376212674E-2</v>
      </c>
      <c r="V12" s="75">
        <f>U12*(T12^Parameters!$C$31)</f>
        <v>1.6730002508499324E-3</v>
      </c>
      <c r="W12" s="21">
        <f t="shared" si="6"/>
        <v>0.22016204467360953</v>
      </c>
      <c r="X12" s="21">
        <f t="shared" si="0"/>
        <v>236.59915558413479</v>
      </c>
      <c r="Y12" s="20">
        <f>Y11+(X12/Parameters!$C$12)</f>
        <v>1102.7148673193053</v>
      </c>
      <c r="Z12" s="23">
        <f>Y12*Parameters!$C$13</f>
        <v>1.9848867611747496</v>
      </c>
      <c r="AA12" s="32">
        <f t="shared" si="7"/>
        <v>0.99067622144065359</v>
      </c>
      <c r="AB12" s="28">
        <f>((Parameters!$C$18*F12*AA12)/(D12+B12))^(1/(1-Parameters!$C$21))</f>
        <v>16.504932360428032</v>
      </c>
      <c r="AC12" s="24">
        <f>(1-V12)*AA12*F12*(AB12^Parameters!$C$21)</f>
        <v>16.225741420784829</v>
      </c>
      <c r="AD12" s="23">
        <f>(1-Parameters!$C$18)*AC12</f>
        <v>14.278652450290648</v>
      </c>
      <c r="AE12" s="30">
        <f t="shared" si="8"/>
        <v>2.658765586232521</v>
      </c>
      <c r="AF12" s="23">
        <f>1/(1+Parameters!$C$22*(A12-$A$7))</f>
        <v>0.72727272727272729</v>
      </c>
      <c r="AG12" s="30">
        <f t="shared" si="1"/>
        <v>99.149601078992717</v>
      </c>
      <c r="AH12" s="30">
        <f>BAU!AF12</f>
        <v>16.753616251228273</v>
      </c>
      <c r="AI12" s="30">
        <f t="shared" si="2"/>
        <v>-27.067277499959857</v>
      </c>
      <c r="AJ12" s="4"/>
      <c r="AK12" s="4"/>
      <c r="AL12" s="4"/>
      <c r="AM12" s="1"/>
      <c r="AN12" s="1"/>
      <c r="AO12" s="1"/>
      <c r="AP12" s="1"/>
      <c r="AQ12" s="1"/>
      <c r="AR12" s="1"/>
      <c r="AS12" s="1"/>
      <c r="AT12" s="1"/>
      <c r="AU12" s="1"/>
      <c r="AV12" s="1"/>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row>
    <row r="13" spans="1:114" x14ac:dyDescent="0.25">
      <c r="A13" s="22">
        <v>2040</v>
      </c>
      <c r="B13" s="27">
        <f>B12/(1+Parameters!$C$4)</f>
        <v>1.6968107115481548E-2</v>
      </c>
      <c r="C13" s="28">
        <f t="shared" si="3"/>
        <v>52.14599442216214</v>
      </c>
      <c r="D13" s="70">
        <f>Parameters!$C$19+(Parameters!$C$20*S13)</f>
        <v>0.10039191543708471</v>
      </c>
      <c r="E13" s="25">
        <f>($E$7/((1+Parameters!$C$8)^(A13-$A$7)))-Parameters!$C$9*Z13</f>
        <v>6.3951433988196471E-2</v>
      </c>
      <c r="F13" s="24">
        <f t="shared" si="9"/>
        <v>5.6869092704674831</v>
      </c>
      <c r="G13" s="116">
        <v>1689.8</v>
      </c>
      <c r="H13" s="14">
        <f>Parameters!L60</f>
        <v>69860.585141586096</v>
      </c>
      <c r="I13" s="14">
        <f>Parameters!M60</f>
        <v>133139.70793283489</v>
      </c>
      <c r="J13" s="14">
        <f>Parameters!N60</f>
        <v>12726.081927138761</v>
      </c>
      <c r="K13" s="14">
        <f>Parameters!O60</f>
        <v>54193.518151949807</v>
      </c>
      <c r="L13" s="14">
        <f>'LCOE Sensitivity Analysis'!L87+Parameters!$C$26</f>
        <v>49.197600000000001</v>
      </c>
      <c r="M13" s="14">
        <f>'LCOE Sensitivity Analysis'!M87+Parameters!$C$26</f>
        <v>69.647599999999997</v>
      </c>
      <c r="N13" s="111">
        <f>Parameters!P60</f>
        <v>203000293.07442099</v>
      </c>
      <c r="O13" s="112">
        <f>((((((L13*H13)+(M13*I13))*Parameters!$C$24)/1000000)*N13)/1000000)-BAU!Q13</f>
        <v>1370.4382373848412</v>
      </c>
      <c r="P13" s="112">
        <f>(((L13*Parameters!L60)+(M13*Parameters!M60))*Parameters!$C$24)/1000000</f>
        <v>11.973934842953678</v>
      </c>
      <c r="Q13" s="39">
        <f>(H13+I13)/Parameters!B45</f>
        <v>0.63510905619225155</v>
      </c>
      <c r="R13" s="39">
        <f>Parameters!O60/Parameters!B60</f>
        <v>0.16955046539072915</v>
      </c>
      <c r="S13" s="113">
        <f>(IF(Q13-BAU!N13 &lt; 0, 0, Q13-BAU!N13))+(IF(BAU!O13-R13 &lt; 0,  0, BAU!O13-R13))</f>
        <v>0.39191543708470722</v>
      </c>
      <c r="T13" s="39">
        <f t="shared" si="4"/>
        <v>0.39191543708470722</v>
      </c>
      <c r="U13" s="32">
        <f t="shared" si="5"/>
        <v>3.8940107443498684E-2</v>
      </c>
      <c r="V13" s="75">
        <f>U13*(T13^Parameters!$C$31)</f>
        <v>2.8270649219960201E-3</v>
      </c>
      <c r="W13" s="21">
        <f t="shared" si="6"/>
        <v>0.16955046539072915</v>
      </c>
      <c r="X13" s="21">
        <f t="shared" si="0"/>
        <v>174.22010467613032</v>
      </c>
      <c r="Y13" s="20">
        <f>Y12+(X13/Parameters!$C$12)</f>
        <v>1150.2294413218863</v>
      </c>
      <c r="Z13" s="23">
        <f>Y13*Parameters!$C$13</f>
        <v>2.0704129943793954</v>
      </c>
      <c r="AA13" s="32">
        <f t="shared" si="7"/>
        <v>0.98986373111480763</v>
      </c>
      <c r="AB13" s="28">
        <f>((Parameters!$C$18*F13*AA13)/(D13+B13))^(1/(1-Parameters!$C$21))</f>
        <v>18.48649688446519</v>
      </c>
      <c r="AC13" s="24">
        <f>(1-V13)*AA13*F13*(AB13^Parameters!$C$21)</f>
        <v>18.028684666219593</v>
      </c>
      <c r="AD13" s="23">
        <f>(1-Parameters!$C$18)*AC13</f>
        <v>15.865242506273242</v>
      </c>
      <c r="AE13" s="30">
        <f t="shared" si="8"/>
        <v>2.7641307105327848</v>
      </c>
      <c r="AF13" s="23">
        <f>1/(1+Parameters!$C$22*(A13-$A$7))</f>
        <v>0.68965517241379315</v>
      </c>
      <c r="AG13" s="30">
        <f t="shared" si="1"/>
        <v>99.405754905910129</v>
      </c>
      <c r="AH13" s="30">
        <f>BAU!AF13</f>
        <v>18.731012679021322</v>
      </c>
      <c r="AI13" s="30">
        <f t="shared" si="2"/>
        <v>-36.623592638087182</v>
      </c>
      <c r="AJ13" s="4"/>
      <c r="AK13" s="4"/>
      <c r="AL13" s="4"/>
      <c r="AM13" s="1"/>
      <c r="AN13" s="1"/>
      <c r="AO13" s="1"/>
      <c r="AP13" s="1"/>
      <c r="AQ13" s="1"/>
      <c r="AR13" s="1"/>
      <c r="AS13" s="1"/>
      <c r="AT13" s="1"/>
      <c r="AU13" s="1"/>
      <c r="AV13" s="1"/>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row>
    <row r="14" spans="1:114" x14ac:dyDescent="0.25">
      <c r="A14" s="22">
        <v>2045</v>
      </c>
      <c r="B14" s="27">
        <f>B13/(1+Parameters!$C$4)</f>
        <v>1.6129379387339875E-2</v>
      </c>
      <c r="C14" s="28">
        <f t="shared" si="3"/>
        <v>52.987076949727296</v>
      </c>
      <c r="D14" s="70">
        <f>Parameters!$C$19+(Parameters!$C$20*S14)</f>
        <v>0.10045568002122873</v>
      </c>
      <c r="E14" s="25">
        <f>($E$7/((1+Parameters!$C$8)^(A14-$A$7)))-Parameters!$C$9*Z14</f>
        <v>6.1937666844225643E-2</v>
      </c>
      <c r="F14" s="24">
        <f t="shared" si="9"/>
        <v>6.0391431622350371</v>
      </c>
      <c r="G14" s="116">
        <v>1814.7</v>
      </c>
      <c r="H14" s="14">
        <f>Parameters!L61</f>
        <v>80152.999476753161</v>
      </c>
      <c r="I14" s="14">
        <f>Parameters!M61</f>
        <v>141245.98279090913</v>
      </c>
      <c r="J14" s="14">
        <f>Parameters!N61</f>
        <v>9785.4371310306251</v>
      </c>
      <c r="K14" s="14">
        <f>Parameters!O61</f>
        <v>46006.597989740636</v>
      </c>
      <c r="L14" s="14">
        <f>'LCOE Sensitivity Analysis'!L88+Parameters!$C$26</f>
        <v>48.217950000000002</v>
      </c>
      <c r="M14" s="14">
        <f>'LCOE Sensitivity Analysis'!M88+Parameters!$C$26</f>
        <v>68.976599999999991</v>
      </c>
      <c r="N14" s="111">
        <f>Parameters!P61</f>
        <v>221398982.26766229</v>
      </c>
      <c r="O14" s="112">
        <f>((((((L14*H14)+(M14*I14))*Parameters!$C$24)/1000000)*N14)/1000000)-BAU!Q14</f>
        <v>1714.6091855847224</v>
      </c>
      <c r="P14" s="112">
        <f>(((L14*Parameters!L61)+(M14*Parameters!M61))*Parameters!$C$24)/1000000</f>
        <v>12.81960782908696</v>
      </c>
      <c r="Q14" s="39">
        <f>(H14+I14)/Parameters!B46</f>
        <v>0.67752812354888481</v>
      </c>
      <c r="R14" s="39">
        <f>Parameters!O61/Parameters!B61</f>
        <v>0.14079000584190896</v>
      </c>
      <c r="S14" s="113">
        <f>(IF(Q14-BAU!N14 &lt; 0, 0, Q14-BAU!N14))+(IF(BAU!O14-R14 &lt; 0,  0, BAU!O14-R14))</f>
        <v>0.45568002122873286</v>
      </c>
      <c r="T14" s="39">
        <f t="shared" si="4"/>
        <v>0.45568002122873286</v>
      </c>
      <c r="U14" s="32">
        <f t="shared" si="5"/>
        <v>3.6528248041784908E-2</v>
      </c>
      <c r="V14" s="75">
        <f>U14*(T14^Parameters!$C$31)</f>
        <v>4.0446114705126853E-3</v>
      </c>
      <c r="W14" s="21">
        <f t="shared" si="6"/>
        <v>0.14079000584190896</v>
      </c>
      <c r="X14" s="21">
        <f t="shared" si="0"/>
        <v>139.06919513490283</v>
      </c>
      <c r="Y14" s="20">
        <f>Y13+(X14/Parameters!$C$12)</f>
        <v>1188.1574036314053</v>
      </c>
      <c r="Z14" s="23">
        <f>Y14*Parameters!$C$13</f>
        <v>2.1386833265365293</v>
      </c>
      <c r="AA14" s="32">
        <f t="shared" si="7"/>
        <v>0.98919158228758397</v>
      </c>
      <c r="AB14" s="28">
        <f>((Parameters!$C$18*F14*AA14)/(D14+B14))^(1/(1-Parameters!$C$21))</f>
        <v>20.63748676791214</v>
      </c>
      <c r="AC14" s="24">
        <f>(1-V14)*AA14*F14*(AB14^Parameters!$C$21)</f>
        <v>19.969093284915495</v>
      </c>
      <c r="AD14" s="23">
        <f>(1-Parameters!$C$18)*AC14</f>
        <v>17.572802090725634</v>
      </c>
      <c r="AE14" s="30">
        <f t="shared" si="8"/>
        <v>2.8663523710270371</v>
      </c>
      <c r="AF14" s="23">
        <f>1/(1+Parameters!$C$22*(A14-$A$7))</f>
        <v>0.65573770491803285</v>
      </c>
      <c r="AG14" s="30">
        <f t="shared" si="1"/>
        <v>99.59320239255274</v>
      </c>
      <c r="AH14" s="30">
        <f>BAU!AF14</f>
        <v>20.873702061172605</v>
      </c>
      <c r="AI14" s="30">
        <f t="shared" si="2"/>
        <v>-47.932574836934116</v>
      </c>
      <c r="AJ14" s="4"/>
      <c r="AK14" s="4"/>
      <c r="AL14" s="4"/>
      <c r="AM14" s="1"/>
      <c r="AN14" s="1"/>
      <c r="AO14" s="1"/>
      <c r="AP14" s="1"/>
      <c r="AQ14" s="1"/>
      <c r="AR14" s="1"/>
      <c r="AS14" s="1"/>
      <c r="AT14" s="1"/>
      <c r="AU14" s="1"/>
      <c r="AV14" s="1"/>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row>
    <row r="15" spans="1:114" x14ac:dyDescent="0.25">
      <c r="A15" s="22">
        <v>2050</v>
      </c>
      <c r="B15" s="27">
        <f>B14/(1+Parameters!$C$4)</f>
        <v>1.533210968378315E-2</v>
      </c>
      <c r="C15" s="28">
        <f t="shared" si="3"/>
        <v>53.79948062534357</v>
      </c>
      <c r="D15" s="70">
        <f>Parameters!$C$19+(Parameters!$C$20*S15)</f>
        <v>0.10049864704468618</v>
      </c>
      <c r="E15" s="25">
        <f>($E$7/((1+Parameters!$C$8)^(A15-$A$7)))-Parameters!$C$9*Z15</f>
        <v>5.999277471790352E-2</v>
      </c>
      <c r="F15" s="24">
        <f>F14*(1+E15)</f>
        <v>6.4014481174561704</v>
      </c>
      <c r="G15" s="116">
        <v>1946.6</v>
      </c>
      <c r="H15" s="14">
        <f>Parameters!L62</f>
        <v>90965.710287184847</v>
      </c>
      <c r="I15" s="14">
        <f>Parameters!M62</f>
        <v>148539.01722352521</v>
      </c>
      <c r="J15" s="14">
        <f>Parameters!N62</f>
        <v>6133.3047331966181</v>
      </c>
      <c r="K15" s="14">
        <f>Parameters!O62</f>
        <v>39641.889162162595</v>
      </c>
      <c r="L15" s="14">
        <f>'LCOE Sensitivity Analysis'!L89+Parameters!$C$26</f>
        <v>47.258872650000001</v>
      </c>
      <c r="M15" s="14">
        <f>'LCOE Sensitivity Analysis'!M89+Parameters!$C$26</f>
        <v>68.312309999999997</v>
      </c>
      <c r="N15" s="111">
        <f>Parameters!P62</f>
        <v>239504727.51071006</v>
      </c>
      <c r="O15" s="112">
        <f>((((((L15*H15)+(M15*I15))*Parameters!$C$24)/1000000)*N15)/1000000)-BAU!Q15</f>
        <v>2031.0542519438732</v>
      </c>
      <c r="P15" s="112">
        <f>(((L15*Parameters!L62)+(M15*Parameters!M62))*Parameters!$C$24)/1000000</f>
        <v>13.609558049719057</v>
      </c>
      <c r="Q15" s="39">
        <f>(H15+I15)/Parameters!B47</f>
        <v>0.7153303157959251</v>
      </c>
      <c r="R15" s="39">
        <f>Parameters!O62/Parameters!B62</f>
        <v>0.11839868627164686</v>
      </c>
      <c r="S15" s="113">
        <f>(IF(Q15-BAU!N15 &lt; 0, 0, Q15-BAU!N15))+(IF(BAU!O15-R15 &lt; 0,  0, BAU!O15-R15))</f>
        <v>0.49864704468618015</v>
      </c>
      <c r="T15" s="39">
        <f t="shared" si="4"/>
        <v>0.49864704468618015</v>
      </c>
      <c r="U15" s="32">
        <f t="shared" si="5"/>
        <v>3.4336817086174407E-2</v>
      </c>
      <c r="V15" s="75">
        <f>U15*(T15^Parameters!$C$31)</f>
        <v>4.8930666727095258E-3</v>
      </c>
      <c r="W15" s="21">
        <f>R15</f>
        <v>0.11839868627164686</v>
      </c>
      <c r="X15" s="21">
        <f t="shared" si="0"/>
        <v>115.54926356543997</v>
      </c>
      <c r="Y15" s="20">
        <f>Y14+(X15/Parameters!$C$12)</f>
        <v>1219.6708391492525</v>
      </c>
      <c r="Z15" s="23">
        <f>Y15*Parameters!$C$13</f>
        <v>2.1954075104686543</v>
      </c>
      <c r="AA15" s="32">
        <f t="shared" si="7"/>
        <v>0.98861724950935626</v>
      </c>
      <c r="AB15" s="28">
        <f>((Parameters!$C$18*F15*AA15)/(D15+B15))^(1/(1-Parameters!$C$21))</f>
        <v>22.96710611644</v>
      </c>
      <c r="AC15" s="24">
        <f>(1-V15)*AA15*F15*(AB15^Parameters!$C$21)</f>
        <v>22.060668911362704</v>
      </c>
      <c r="AD15" s="23">
        <f>(1-Parameters!$C$18)*AC15</f>
        <v>19.41338864199918</v>
      </c>
      <c r="AE15" s="30">
        <f t="shared" si="8"/>
        <v>2.9659629642203411</v>
      </c>
      <c r="AF15" s="23">
        <f>1/(1+Parameters!$C$22*(A15-$A$7))</f>
        <v>0.625</v>
      </c>
      <c r="AG15" s="30">
        <f t="shared" si="1"/>
        <v>99.729541893161766</v>
      </c>
      <c r="AH15" s="30">
        <f>BAU!AF15</f>
        <v>23.187993404994479</v>
      </c>
      <c r="AI15" s="30">
        <f t="shared" si="2"/>
        <v>-60.649472253617944</v>
      </c>
      <c r="AJ15" s="4"/>
      <c r="AK15" s="4"/>
      <c r="AL15" s="4"/>
      <c r="AM15" s="1"/>
      <c r="AN15" s="1"/>
      <c r="AO15" s="1"/>
      <c r="AP15" s="1"/>
      <c r="AQ15" s="1"/>
      <c r="AR15" s="1"/>
      <c r="AS15" s="1"/>
      <c r="AT15" s="1"/>
      <c r="AU15" s="1"/>
      <c r="AV15" s="1"/>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row>
    <row r="16" spans="1:114" ht="125.25" customHeight="1" x14ac:dyDescent="0.25">
      <c r="A16" s="3"/>
      <c r="B16" s="4"/>
      <c r="C16" s="4"/>
      <c r="D16" s="4"/>
      <c r="E16" s="4"/>
      <c r="F16" s="4"/>
      <c r="G16" s="4"/>
      <c r="H16" s="4"/>
      <c r="I16" s="4"/>
      <c r="J16" s="4"/>
      <c r="K16" s="4"/>
      <c r="L16" s="182" t="s">
        <v>340</v>
      </c>
      <c r="M16" s="183"/>
      <c r="N16" s="183"/>
      <c r="O16" s="4"/>
      <c r="P16" s="4"/>
      <c r="Q16" s="4"/>
      <c r="R16" s="4"/>
      <c r="S16" s="4"/>
      <c r="T16" s="4"/>
      <c r="U16" s="4"/>
      <c r="V16" s="4"/>
      <c r="W16" s="4"/>
      <c r="X16" s="4"/>
      <c r="Y16" s="4"/>
      <c r="Z16" s="4"/>
      <c r="AA16" s="4"/>
      <c r="AB16" s="4"/>
      <c r="AC16" s="4"/>
      <c r="AD16" s="7"/>
      <c r="AE16" s="7"/>
      <c r="AF16" s="33" t="s">
        <v>78</v>
      </c>
      <c r="AG16" s="88">
        <f>SUM(AG7:AG15)</f>
        <v>886.89556348905614</v>
      </c>
      <c r="AH16" s="108"/>
      <c r="AI16" s="76"/>
      <c r="AJ16" s="4"/>
      <c r="AK16" s="4"/>
      <c r="AL16" s="4"/>
      <c r="AM16" s="1"/>
      <c r="AN16" s="1"/>
      <c r="AO16" s="1"/>
      <c r="AP16" s="1"/>
      <c r="AQ16" s="1"/>
      <c r="AR16" s="1"/>
      <c r="AS16" s="1"/>
      <c r="AT16" s="1"/>
      <c r="AU16" s="1"/>
      <c r="AV16" s="1"/>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row>
    <row r="17" spans="1:114" x14ac:dyDescent="0.2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7"/>
      <c r="AE17" s="7"/>
      <c r="AF17" s="4"/>
      <c r="AG17" s="4"/>
      <c r="AH17" s="4"/>
      <c r="AI17" s="4"/>
      <c r="AJ17" s="4"/>
      <c r="AK17" s="4"/>
      <c r="AL17" s="4"/>
      <c r="AM17" s="1"/>
      <c r="AN17" s="1"/>
      <c r="AO17" s="1"/>
      <c r="AP17" s="1"/>
      <c r="AQ17" s="1"/>
      <c r="AR17" s="1"/>
      <c r="AS17" s="1"/>
      <c r="AT17" s="1"/>
      <c r="AU17" s="1"/>
      <c r="AV17" s="1"/>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row>
    <row r="18" spans="1:114" customFormat="1" ht="21" customHeight="1" x14ac:dyDescent="0.25">
      <c r="A18" s="142" t="s">
        <v>333</v>
      </c>
      <c r="B18" s="79"/>
      <c r="E18" s="2"/>
      <c r="F18" s="79"/>
    </row>
    <row r="19" spans="1:114" customFormat="1" ht="98.25" x14ac:dyDescent="0.25">
      <c r="A19" s="10" t="s">
        <v>0</v>
      </c>
      <c r="B19" s="11" t="s">
        <v>104</v>
      </c>
      <c r="C19" s="109" t="s">
        <v>236</v>
      </c>
      <c r="D19" s="109" t="s">
        <v>331</v>
      </c>
      <c r="E19" s="109" t="s">
        <v>332</v>
      </c>
      <c r="F19" s="109" t="s">
        <v>334</v>
      </c>
    </row>
    <row r="20" spans="1:114" customFormat="1" x14ac:dyDescent="0.25">
      <c r="A20" s="10" t="s">
        <v>9</v>
      </c>
      <c r="B20" s="11" t="s">
        <v>105</v>
      </c>
      <c r="C20" s="11" t="s">
        <v>235</v>
      </c>
      <c r="D20" s="11" t="s">
        <v>335</v>
      </c>
      <c r="E20" s="11" t="s">
        <v>336</v>
      </c>
      <c r="F20" s="11" t="s">
        <v>337</v>
      </c>
    </row>
    <row r="21" spans="1:114" x14ac:dyDescent="0.25">
      <c r="A21" s="22">
        <v>2010</v>
      </c>
      <c r="B21" s="39">
        <f>Q7</f>
        <v>0.12078505660505993</v>
      </c>
      <c r="C21" s="111">
        <f>N7</f>
        <v>36032598.086421482</v>
      </c>
      <c r="D21" s="143">
        <f>(C21*(Parameters!$C$114-Parameters!$C$113)*Parameters!$C$24)/1000000000</f>
        <v>1.0810202628790972</v>
      </c>
      <c r="E21" s="143">
        <f>(C21*Parameters!$C$26*Parameters!$C$24)/1000000000</f>
        <v>8.6481621030327763E-2</v>
      </c>
      <c r="F21" s="143">
        <f>P7-D21-E21</f>
        <v>1.2406292879568419</v>
      </c>
      <c r="G21" s="4"/>
      <c r="H21" s="4"/>
      <c r="I21" s="4"/>
      <c r="J21" s="4"/>
      <c r="K21" s="4"/>
      <c r="L21" s="4"/>
      <c r="M21" s="4"/>
      <c r="N21" s="4"/>
      <c r="O21" s="4"/>
      <c r="P21" s="4"/>
      <c r="Q21" s="4"/>
      <c r="R21" s="4"/>
      <c r="S21" s="4"/>
      <c r="T21" s="4"/>
      <c r="U21" s="4"/>
      <c r="V21" s="4"/>
      <c r="W21" s="4"/>
      <c r="X21" s="4"/>
      <c r="Y21" s="4"/>
      <c r="Z21" s="4"/>
      <c r="AA21" s="4"/>
      <c r="AB21" s="4"/>
      <c r="AC21" s="4"/>
      <c r="AD21" s="7"/>
      <c r="AE21" s="7"/>
      <c r="AF21" s="4"/>
      <c r="AG21" s="4"/>
      <c r="AH21" s="4"/>
      <c r="AI21" s="4"/>
      <c r="AJ21" s="4"/>
      <c r="AK21" s="4"/>
      <c r="AL21" s="4"/>
      <c r="AM21" s="1"/>
      <c r="AN21" s="1"/>
      <c r="AO21" s="1"/>
      <c r="AP21" s="1"/>
      <c r="AQ21" s="1"/>
      <c r="AR21" s="1"/>
      <c r="AS21" s="1"/>
      <c r="AT21" s="1"/>
      <c r="AU21" s="1"/>
      <c r="AV21" s="1"/>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row>
    <row r="22" spans="1:114" x14ac:dyDescent="0.25">
      <c r="A22" s="22">
        <v>2015</v>
      </c>
      <c r="B22" s="39">
        <f t="shared" ref="B22:B29" si="10">Q8</f>
        <v>0.1865892773006082</v>
      </c>
      <c r="C22" s="111">
        <f t="shared" ref="C22:C29" si="11">N8</f>
        <v>52027262.900302097</v>
      </c>
      <c r="D22" s="143">
        <f>(C22*(Parameters!$C$114-Parameters!$C$113)*Parameters!$C$24)/1000000000</f>
        <v>1.5608789930293399</v>
      </c>
      <c r="E22" s="143">
        <f>(C22*Parameters!$C$26*Parameters!$C$24)/1000000000</f>
        <v>0.12487031944234715</v>
      </c>
      <c r="F22" s="143">
        <f t="shared" ref="F22:F29" si="12">P8-D22-E22</f>
        <v>1.7471803476642009</v>
      </c>
      <c r="G22" s="4"/>
      <c r="H22" s="4"/>
      <c r="I22" s="4"/>
      <c r="J22" s="4"/>
      <c r="K22" s="4"/>
      <c r="L22" s="4"/>
      <c r="M22" s="4"/>
      <c r="N22" s="4"/>
      <c r="O22" s="4"/>
      <c r="P22" s="4"/>
      <c r="Q22" s="4"/>
      <c r="R22" s="4"/>
      <c r="S22" s="4"/>
      <c r="T22" s="4"/>
      <c r="U22" s="4"/>
      <c r="V22" s="4"/>
      <c r="W22" s="4"/>
      <c r="X22" s="4"/>
      <c r="Y22" s="4"/>
      <c r="Z22" s="4"/>
      <c r="AA22" s="4"/>
      <c r="AB22" s="4"/>
      <c r="AC22" s="4"/>
      <c r="AD22" s="7"/>
      <c r="AE22" s="7"/>
      <c r="AF22" s="4"/>
      <c r="AG22" s="4"/>
      <c r="AH22" s="4"/>
      <c r="AI22" s="4"/>
      <c r="AJ22" s="4"/>
      <c r="AK22" s="4"/>
      <c r="AL22" s="4"/>
      <c r="AM22" s="1"/>
      <c r="AN22" s="1"/>
      <c r="AO22" s="1"/>
      <c r="AP22" s="1"/>
      <c r="AQ22" s="1"/>
      <c r="AR22" s="1"/>
      <c r="AS22" s="1"/>
      <c r="AT22" s="1"/>
      <c r="AU22" s="1"/>
      <c r="AV22" s="1"/>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row>
    <row r="23" spans="1:114" x14ac:dyDescent="0.25">
      <c r="A23" s="22">
        <v>2020</v>
      </c>
      <c r="B23" s="39">
        <f t="shared" si="10"/>
        <v>0.29632023482072567</v>
      </c>
      <c r="C23" s="111">
        <f t="shared" si="11"/>
        <v>73025939.617469117</v>
      </c>
      <c r="D23" s="143">
        <f>(C23*(Parameters!$C$114-Parameters!$C$113)*Parameters!$C$24)/1000000000</f>
        <v>2.1908639574901549</v>
      </c>
      <c r="E23" s="143">
        <f>(C23*Parameters!$C$26*Parameters!$C$24)/1000000000</f>
        <v>0.17526911659921238</v>
      </c>
      <c r="F23" s="143">
        <f t="shared" si="12"/>
        <v>2.3651171281922441</v>
      </c>
      <c r="G23" s="4"/>
      <c r="H23" s="4"/>
      <c r="I23" s="4"/>
      <c r="J23" s="4"/>
      <c r="K23" s="4"/>
      <c r="L23" s="4"/>
      <c r="M23" s="4"/>
      <c r="N23" s="4"/>
      <c r="O23" s="4"/>
      <c r="P23" s="4"/>
      <c r="Q23" s="4"/>
      <c r="R23" s="4"/>
      <c r="S23" s="4"/>
      <c r="T23" s="4"/>
      <c r="U23" s="4"/>
      <c r="V23" s="4"/>
      <c r="W23" s="4"/>
      <c r="X23" s="4"/>
      <c r="Y23" s="4"/>
      <c r="Z23" s="4"/>
      <c r="AA23" s="4"/>
      <c r="AB23" s="4"/>
      <c r="AC23" s="4"/>
      <c r="AD23" s="7"/>
      <c r="AE23" s="7"/>
      <c r="AF23" s="4"/>
      <c r="AG23" s="4"/>
      <c r="AH23" s="4"/>
      <c r="AI23" s="4"/>
      <c r="AJ23" s="4"/>
      <c r="AK23" s="4"/>
      <c r="AL23" s="4"/>
      <c r="AM23" s="1"/>
      <c r="AN23" s="1"/>
      <c r="AO23" s="1"/>
      <c r="AP23" s="1"/>
      <c r="AQ23" s="1"/>
      <c r="AR23" s="1"/>
      <c r="AS23" s="1"/>
      <c r="AT23" s="1"/>
      <c r="AU23" s="1"/>
      <c r="AV23" s="1"/>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row>
    <row r="24" spans="1:114" x14ac:dyDescent="0.25">
      <c r="A24" s="22">
        <v>2025</v>
      </c>
      <c r="B24" s="39">
        <f t="shared" si="10"/>
        <v>0.3666845964696584</v>
      </c>
      <c r="C24" s="111">
        <f t="shared" si="11"/>
        <v>102606558.14423844</v>
      </c>
      <c r="D24" s="143">
        <f>(C24*(Parameters!$C$114-Parameters!$C$113)*Parameters!$C$24)/1000000000</f>
        <v>3.0783172557296945</v>
      </c>
      <c r="E24" s="143">
        <f>(C24*Parameters!$C$26*Parameters!$C$24)/1000000000</f>
        <v>0.24626538045837551</v>
      </c>
      <c r="F24" s="143">
        <f t="shared" si="12"/>
        <v>3.1717847613022232</v>
      </c>
      <c r="G24" s="4"/>
      <c r="H24" s="4"/>
      <c r="I24" s="4"/>
      <c r="J24" s="4"/>
      <c r="K24" s="4"/>
      <c r="L24" s="4"/>
      <c r="M24" s="4"/>
      <c r="N24" s="4"/>
      <c r="O24" s="4"/>
      <c r="P24" s="4"/>
      <c r="Q24" s="4"/>
      <c r="R24" s="4"/>
      <c r="S24" s="4"/>
      <c r="T24" s="4"/>
      <c r="U24" s="4"/>
      <c r="V24" s="4"/>
      <c r="W24" s="4"/>
      <c r="X24" s="4"/>
      <c r="Y24" s="4"/>
      <c r="Z24" s="4"/>
      <c r="AA24" s="4"/>
      <c r="AB24" s="4"/>
      <c r="AC24" s="4"/>
      <c r="AD24" s="7"/>
      <c r="AE24" s="7"/>
      <c r="AF24" s="4"/>
      <c r="AG24" s="4"/>
      <c r="AH24" s="4"/>
      <c r="AI24" s="4"/>
      <c r="AJ24" s="4"/>
      <c r="AK24" s="4"/>
      <c r="AL24" s="4"/>
      <c r="AM24" s="1"/>
      <c r="AN24" s="1"/>
      <c r="AO24" s="1"/>
      <c r="AP24" s="1"/>
      <c r="AQ24" s="1"/>
      <c r="AR24" s="1"/>
      <c r="AS24" s="1"/>
      <c r="AT24" s="1"/>
      <c r="AU24" s="1"/>
      <c r="AV24" s="1"/>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row>
    <row r="25" spans="1:114" x14ac:dyDescent="0.25">
      <c r="A25" s="22">
        <v>2030</v>
      </c>
      <c r="B25" s="39">
        <f t="shared" si="10"/>
        <v>0.5022957451484964</v>
      </c>
      <c r="C25" s="111">
        <f t="shared" si="11"/>
        <v>148915755.23119143</v>
      </c>
      <c r="D25" s="143">
        <f>(C25*(Parameters!$C$114-Parameters!$C$113)*Parameters!$C$24)/1000000000</f>
        <v>4.4676475584902633</v>
      </c>
      <c r="E25" s="143">
        <f>(C25*Parameters!$C$26*Parameters!$C$24)/1000000000</f>
        <v>0.35741180467922101</v>
      </c>
      <c r="F25" s="143">
        <f t="shared" si="12"/>
        <v>4.3189069911509721</v>
      </c>
      <c r="G25" s="4"/>
      <c r="H25" s="4"/>
      <c r="I25" s="4"/>
      <c r="J25" s="4"/>
      <c r="K25" s="4"/>
      <c r="L25" s="4"/>
      <c r="M25" s="4"/>
      <c r="N25" s="4"/>
      <c r="O25" s="4"/>
      <c r="P25" s="4"/>
      <c r="Q25" s="4"/>
      <c r="R25" s="4"/>
      <c r="S25" s="4"/>
      <c r="T25" s="4"/>
      <c r="U25" s="4"/>
      <c r="V25" s="4"/>
      <c r="W25" s="4"/>
      <c r="X25" s="4"/>
      <c r="Y25" s="4"/>
      <c r="Z25" s="4"/>
      <c r="AA25" s="4"/>
      <c r="AB25" s="4"/>
      <c r="AC25" s="4"/>
      <c r="AD25" s="7"/>
      <c r="AE25" s="7"/>
      <c r="AF25" s="4"/>
      <c r="AG25" s="4"/>
      <c r="AH25" s="4"/>
      <c r="AI25" s="4"/>
      <c r="AJ25" s="4"/>
      <c r="AK25" s="4"/>
      <c r="AL25" s="4"/>
      <c r="AM25" s="1"/>
      <c r="AN25" s="1"/>
      <c r="AO25" s="1"/>
      <c r="AP25" s="1"/>
      <c r="AQ25" s="1"/>
      <c r="AR25" s="1"/>
      <c r="AS25" s="1"/>
      <c r="AT25" s="1"/>
      <c r="AU25" s="1"/>
      <c r="AV25" s="1"/>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row>
    <row r="26" spans="1:114" x14ac:dyDescent="0.25">
      <c r="A26" s="22">
        <v>2035</v>
      </c>
      <c r="B26" s="39">
        <f t="shared" si="10"/>
        <v>0.57015668210272508</v>
      </c>
      <c r="C26" s="111">
        <f t="shared" si="11"/>
        <v>175360614.25182208</v>
      </c>
      <c r="D26" s="143">
        <f>(C26*(Parameters!$C$114-Parameters!$C$113)*Parameters!$C$24)/1000000000</f>
        <v>5.2610243885961028</v>
      </c>
      <c r="E26" s="143">
        <f>(C26*Parameters!$C$26*Parameters!$C$24)/1000000000</f>
        <v>0.42088195108768817</v>
      </c>
      <c r="F26" s="143">
        <f t="shared" si="12"/>
        <v>4.855519984287322</v>
      </c>
      <c r="G26" s="4"/>
      <c r="H26" s="4"/>
      <c r="I26" s="4"/>
      <c r="J26" s="4"/>
      <c r="K26" s="4"/>
      <c r="L26" s="4"/>
      <c r="M26" s="4"/>
      <c r="N26" s="4"/>
      <c r="O26" s="4"/>
      <c r="P26" s="4"/>
      <c r="Q26" s="4"/>
      <c r="R26" s="4"/>
      <c r="S26" s="4"/>
      <c r="T26" s="4"/>
      <c r="U26" s="4"/>
      <c r="V26" s="4"/>
      <c r="W26" s="4"/>
      <c r="X26" s="4"/>
      <c r="Y26" s="4"/>
      <c r="Z26" s="4"/>
      <c r="AA26" s="4"/>
      <c r="AB26" s="4"/>
      <c r="AC26" s="4"/>
      <c r="AD26" s="7"/>
      <c r="AE26" s="7"/>
      <c r="AF26" s="4"/>
      <c r="AG26" s="4"/>
      <c r="AH26" s="4"/>
      <c r="AI26" s="4"/>
      <c r="AJ26" s="4"/>
      <c r="AK26" s="4"/>
      <c r="AL26" s="4"/>
      <c r="AM26" s="1"/>
      <c r="AN26" s="1"/>
      <c r="AO26" s="1"/>
      <c r="AP26" s="1"/>
      <c r="AQ26" s="1"/>
      <c r="AR26" s="1"/>
      <c r="AS26" s="1"/>
      <c r="AT26" s="1"/>
      <c r="AU26" s="1"/>
      <c r="AV26" s="1"/>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row>
    <row r="27" spans="1:114" x14ac:dyDescent="0.25">
      <c r="A27" s="22">
        <v>2040</v>
      </c>
      <c r="B27" s="39">
        <f t="shared" si="10"/>
        <v>0.63510905619225155</v>
      </c>
      <c r="C27" s="111">
        <f t="shared" si="11"/>
        <v>203000293.07442099</v>
      </c>
      <c r="D27" s="143">
        <f>(C27*(Parameters!$C$114-Parameters!$C$113)*Parameters!$C$24)/1000000000</f>
        <v>6.0902472160768468</v>
      </c>
      <c r="E27" s="143">
        <f>(C27*Parameters!$C$26*Parameters!$C$24)/1000000000</f>
        <v>0.48721977728614768</v>
      </c>
      <c r="F27" s="143">
        <f t="shared" si="12"/>
        <v>5.3964678495906835</v>
      </c>
      <c r="G27" s="4"/>
      <c r="H27" s="4"/>
      <c r="I27" s="4"/>
      <c r="J27" s="4"/>
      <c r="K27" s="4"/>
      <c r="L27" s="4"/>
      <c r="M27" s="4"/>
      <c r="N27" s="4"/>
      <c r="O27" s="4"/>
      <c r="P27" s="4"/>
      <c r="Q27" s="4"/>
      <c r="R27" s="4"/>
      <c r="S27" s="4"/>
      <c r="T27" s="4"/>
      <c r="U27" s="4"/>
      <c r="V27" s="4"/>
      <c r="W27" s="4"/>
      <c r="X27" s="4"/>
      <c r="Y27" s="4"/>
      <c r="Z27" s="4"/>
      <c r="AA27" s="4"/>
      <c r="AB27" s="4"/>
      <c r="AC27" s="4"/>
      <c r="AD27" s="7"/>
      <c r="AE27" s="7"/>
      <c r="AF27" s="4"/>
      <c r="AG27" s="4"/>
      <c r="AH27" s="4"/>
      <c r="AI27" s="4"/>
      <c r="AJ27" s="4"/>
      <c r="AK27" s="4"/>
      <c r="AL27" s="4"/>
      <c r="AM27" s="1"/>
      <c r="AN27" s="1"/>
      <c r="AO27" s="1"/>
      <c r="AP27" s="1"/>
      <c r="AQ27" s="1"/>
      <c r="AR27" s="1"/>
      <c r="AS27" s="1"/>
      <c r="AT27" s="1"/>
      <c r="AU27" s="1"/>
      <c r="AV27" s="1"/>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row>
    <row r="28" spans="1:114" x14ac:dyDescent="0.25">
      <c r="A28" s="22">
        <v>2045</v>
      </c>
      <c r="B28" s="39">
        <f t="shared" si="10"/>
        <v>0.67752812354888481</v>
      </c>
      <c r="C28" s="111">
        <f t="shared" si="11"/>
        <v>221398982.26766229</v>
      </c>
      <c r="D28" s="143">
        <f>(C28*(Parameters!$C$114-Parameters!$C$113)*Parameters!$C$24)/1000000000</f>
        <v>6.6422295011345431</v>
      </c>
      <c r="E28" s="143">
        <f>(C28*Parameters!$C$26*Parameters!$C$24)/1000000000</f>
        <v>0.53137836009076334</v>
      </c>
      <c r="F28" s="143">
        <f t="shared" si="12"/>
        <v>5.6459999678616537</v>
      </c>
      <c r="G28" s="4"/>
      <c r="H28" s="4"/>
      <c r="I28" s="4"/>
      <c r="J28" s="4"/>
      <c r="K28" s="4"/>
      <c r="L28" s="4"/>
      <c r="M28" s="4"/>
      <c r="N28" s="4"/>
      <c r="O28" s="4"/>
      <c r="P28" s="4"/>
      <c r="Q28" s="4"/>
      <c r="R28" s="4"/>
      <c r="S28" s="4"/>
      <c r="T28" s="4"/>
      <c r="U28" s="4"/>
      <c r="V28" s="4"/>
      <c r="W28" s="4"/>
      <c r="X28" s="4"/>
      <c r="Y28" s="4"/>
      <c r="Z28" s="4"/>
      <c r="AA28" s="4"/>
      <c r="AB28" s="4"/>
      <c r="AC28" s="4"/>
      <c r="AD28" s="7"/>
      <c r="AE28" s="7"/>
      <c r="AF28" s="4"/>
      <c r="AG28" s="4"/>
      <c r="AH28" s="4"/>
      <c r="AI28" s="4"/>
      <c r="AJ28" s="4"/>
      <c r="AK28" s="4"/>
      <c r="AL28" s="4"/>
      <c r="AM28" s="1"/>
      <c r="AN28" s="1"/>
      <c r="AO28" s="1"/>
      <c r="AP28" s="1"/>
      <c r="AQ28" s="1"/>
      <c r="AR28" s="1"/>
      <c r="AS28" s="1"/>
      <c r="AT28" s="1"/>
      <c r="AU28" s="1"/>
      <c r="AV28" s="1"/>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row>
    <row r="29" spans="1:114" x14ac:dyDescent="0.25">
      <c r="A29" s="22">
        <v>2050</v>
      </c>
      <c r="B29" s="39">
        <f t="shared" si="10"/>
        <v>0.7153303157959251</v>
      </c>
      <c r="C29" s="111">
        <f t="shared" si="11"/>
        <v>239504727.51071006</v>
      </c>
      <c r="D29" s="143">
        <f>(C29*(Parameters!$C$114-Parameters!$C$113)*Parameters!$C$24)/1000000000</f>
        <v>7.1854231236237647</v>
      </c>
      <c r="E29" s="143">
        <f>(C29*Parameters!$C$26*Parameters!$C$24)/1000000000</f>
        <v>0.57483384988990116</v>
      </c>
      <c r="F29" s="143">
        <f t="shared" si="12"/>
        <v>5.849301076205391</v>
      </c>
      <c r="G29" s="4"/>
      <c r="H29" s="4"/>
      <c r="I29" s="4"/>
      <c r="J29" s="4"/>
      <c r="K29" s="4"/>
      <c r="L29" s="4"/>
      <c r="M29" s="4"/>
      <c r="N29" s="4"/>
      <c r="O29" s="4"/>
      <c r="P29" s="4"/>
      <c r="Q29" s="4"/>
      <c r="R29" s="4"/>
      <c r="S29" s="4"/>
      <c r="T29" s="4"/>
      <c r="U29" s="4"/>
      <c r="V29" s="4"/>
      <c r="W29" s="4"/>
      <c r="X29" s="4"/>
      <c r="Y29" s="4"/>
      <c r="Z29" s="4"/>
      <c r="AA29" s="4"/>
      <c r="AB29" s="4"/>
      <c r="AC29" s="4"/>
      <c r="AD29" s="7"/>
      <c r="AE29" s="7"/>
      <c r="AF29" s="4"/>
      <c r="AG29" s="4"/>
      <c r="AH29" s="4"/>
      <c r="AI29" s="4"/>
      <c r="AJ29" s="4"/>
      <c r="AK29" s="4"/>
      <c r="AL29" s="4"/>
      <c r="AM29" s="1"/>
      <c r="AN29" s="1"/>
      <c r="AO29" s="1"/>
      <c r="AP29" s="1"/>
      <c r="AQ29" s="1"/>
      <c r="AR29" s="1"/>
      <c r="AS29" s="1"/>
      <c r="AT29" s="1"/>
      <c r="AU29" s="1"/>
      <c r="AV29" s="1"/>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row>
    <row r="30" spans="1:114" x14ac:dyDescent="0.25">
      <c r="A30" s="3"/>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7"/>
      <c r="AE30" s="7"/>
      <c r="AF30" s="4"/>
      <c r="AG30" s="4"/>
      <c r="AH30" s="4"/>
      <c r="AI30" s="4"/>
      <c r="AJ30" s="4"/>
      <c r="AK30" s="4"/>
      <c r="AL30" s="4"/>
      <c r="AM30" s="1"/>
      <c r="AN30" s="1"/>
      <c r="AO30" s="1"/>
      <c r="AP30" s="1"/>
      <c r="AQ30" s="1"/>
      <c r="AR30" s="1"/>
      <c r="AS30" s="1"/>
      <c r="AT30" s="1"/>
      <c r="AU30" s="1"/>
      <c r="AV30" s="1"/>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row>
    <row r="31" spans="1:114" x14ac:dyDescent="0.25">
      <c r="A31" s="3"/>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7"/>
      <c r="AE31" s="7"/>
      <c r="AF31" s="4"/>
      <c r="AG31" s="4"/>
      <c r="AH31" s="4"/>
      <c r="AI31" s="4"/>
      <c r="AJ31" s="4"/>
      <c r="AK31" s="4"/>
      <c r="AL31" s="4"/>
      <c r="AM31" s="1"/>
      <c r="AN31" s="1"/>
      <c r="AO31" s="1"/>
      <c r="AP31" s="1"/>
      <c r="AQ31" s="1"/>
      <c r="AR31" s="1"/>
      <c r="AS31" s="1"/>
      <c r="AT31" s="1"/>
      <c r="AU31" s="1"/>
      <c r="AV31" s="1"/>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row>
    <row r="32" spans="1:114" x14ac:dyDescent="0.25">
      <c r="A32" s="3"/>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7"/>
      <c r="AE32" s="7"/>
      <c r="AF32" s="4"/>
      <c r="AG32" s="4"/>
      <c r="AH32" s="4"/>
      <c r="AI32" s="4"/>
      <c r="AJ32" s="4"/>
      <c r="AK32" s="4"/>
      <c r="AL32" s="4"/>
      <c r="AM32" s="1"/>
      <c r="AN32" s="1"/>
      <c r="AO32" s="1"/>
      <c r="AP32" s="1"/>
      <c r="AQ32" s="1"/>
      <c r="AR32" s="1"/>
      <c r="AS32" s="1"/>
      <c r="AT32" s="1"/>
      <c r="AU32" s="1"/>
      <c r="AV32" s="1"/>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row>
    <row r="33" spans="1:114" x14ac:dyDescent="0.25">
      <c r="A33" s="3"/>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7"/>
      <c r="AE33" s="7"/>
      <c r="AF33" s="4"/>
      <c r="AG33" s="4"/>
      <c r="AH33" s="4"/>
      <c r="AI33" s="4"/>
      <c r="AJ33" s="4"/>
      <c r="AK33" s="4"/>
      <c r="AL33" s="4"/>
      <c r="AM33" s="1"/>
      <c r="AN33" s="1"/>
      <c r="AO33" s="1"/>
      <c r="AP33" s="1"/>
      <c r="AQ33" s="1"/>
      <c r="AR33" s="1"/>
      <c r="AS33" s="1"/>
      <c r="AT33" s="1"/>
      <c r="AU33" s="1"/>
      <c r="AV33" s="1"/>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row>
    <row r="34" spans="1:114" x14ac:dyDescent="0.25">
      <c r="A34" s="3"/>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7"/>
      <c r="AE34" s="7"/>
      <c r="AF34" s="4"/>
      <c r="AG34" s="4"/>
      <c r="AH34" s="4"/>
      <c r="AI34" s="4"/>
      <c r="AJ34" s="4"/>
      <c r="AK34" s="4"/>
      <c r="AL34" s="4"/>
      <c r="AM34" s="1"/>
      <c r="AN34" s="1"/>
      <c r="AO34" s="1"/>
      <c r="AP34" s="1"/>
      <c r="AQ34" s="1"/>
      <c r="AR34" s="1"/>
      <c r="AS34" s="1"/>
      <c r="AT34" s="1"/>
      <c r="AU34" s="1"/>
      <c r="AV34" s="1"/>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row>
    <row r="35" spans="1:114" x14ac:dyDescent="0.25">
      <c r="A35" s="3"/>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7"/>
      <c r="AE35" s="7"/>
      <c r="AF35" s="4"/>
      <c r="AG35" s="4"/>
      <c r="AH35" s="4"/>
      <c r="AI35" s="4"/>
      <c r="AJ35" s="4"/>
      <c r="AK35" s="4"/>
      <c r="AL35" s="4"/>
      <c r="AM35" s="1"/>
      <c r="AN35" s="1"/>
      <c r="AO35" s="1"/>
      <c r="AP35" s="1"/>
      <c r="AQ35" s="1"/>
      <c r="AR35" s="1"/>
      <c r="AS35" s="1"/>
      <c r="AT35" s="1"/>
      <c r="AU35" s="1"/>
      <c r="AV35" s="1"/>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row>
    <row r="36" spans="1:114" x14ac:dyDescent="0.25">
      <c r="A36" s="3"/>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7"/>
      <c r="AE36" s="7"/>
      <c r="AF36" s="4"/>
      <c r="AG36" s="4"/>
      <c r="AH36" s="4"/>
      <c r="AI36" s="4"/>
      <c r="AJ36" s="4"/>
      <c r="AK36" s="4"/>
      <c r="AL36" s="4"/>
      <c r="AM36" s="1"/>
      <c r="AN36" s="1"/>
      <c r="AO36" s="1"/>
      <c r="AP36" s="1"/>
      <c r="AQ36" s="1"/>
      <c r="AR36" s="1"/>
      <c r="AS36" s="1"/>
      <c r="AT36" s="1"/>
      <c r="AU36" s="1"/>
      <c r="AV36" s="1"/>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row>
    <row r="37" spans="1:114" x14ac:dyDescent="0.25">
      <c r="A37" s="3"/>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7"/>
      <c r="AE37" s="7"/>
      <c r="AF37" s="4"/>
      <c r="AG37" s="4"/>
      <c r="AH37" s="4"/>
      <c r="AI37" s="4"/>
      <c r="AJ37" s="4"/>
      <c r="AK37" s="4"/>
      <c r="AL37" s="4"/>
      <c r="AM37" s="1"/>
      <c r="AN37" s="1"/>
      <c r="AO37" s="1"/>
      <c r="AP37" s="1"/>
      <c r="AQ37" s="1"/>
      <c r="AR37" s="1"/>
      <c r="AS37" s="1"/>
      <c r="AT37" s="1"/>
      <c r="AU37" s="1"/>
      <c r="AV37" s="1"/>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row>
    <row r="38" spans="1:114" x14ac:dyDescent="0.25">
      <c r="A38" s="3"/>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7"/>
      <c r="AE38" s="7"/>
      <c r="AF38" s="4"/>
      <c r="AG38" s="4"/>
      <c r="AH38" s="4"/>
      <c r="AI38" s="4"/>
      <c r="AJ38" s="4"/>
      <c r="AK38" s="4"/>
      <c r="AL38" s="4"/>
      <c r="AM38" s="1"/>
      <c r="AN38" s="1"/>
      <c r="AO38" s="1"/>
      <c r="AP38" s="1"/>
      <c r="AQ38" s="1"/>
      <c r="AR38" s="1"/>
      <c r="AS38" s="1"/>
      <c r="AT38" s="1"/>
      <c r="AU38" s="1"/>
      <c r="AV38" s="1"/>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row>
    <row r="39" spans="1:114" x14ac:dyDescent="0.25">
      <c r="A39" s="3"/>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7"/>
      <c r="AE39" s="7"/>
      <c r="AF39" s="4"/>
      <c r="AG39" s="4"/>
      <c r="AH39" s="4"/>
      <c r="AI39" s="4"/>
      <c r="AJ39" s="4"/>
      <c r="AK39" s="4"/>
      <c r="AL39" s="4"/>
      <c r="AM39" s="1"/>
      <c r="AN39" s="1"/>
      <c r="AO39" s="1"/>
      <c r="AP39" s="1"/>
      <c r="AQ39" s="1"/>
      <c r="AR39" s="1"/>
      <c r="AS39" s="1"/>
      <c r="AT39" s="1"/>
      <c r="AU39" s="1"/>
      <c r="AV39" s="1"/>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row>
    <row r="40" spans="1:114" x14ac:dyDescent="0.25">
      <c r="A40" s="3"/>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7"/>
      <c r="AE40" s="7"/>
      <c r="AF40" s="4"/>
      <c r="AG40" s="4"/>
      <c r="AH40" s="4"/>
      <c r="AI40" s="4"/>
      <c r="AJ40" s="4"/>
      <c r="AK40" s="4"/>
      <c r="AL40" s="4"/>
      <c r="AM40" s="1"/>
      <c r="AN40" s="1"/>
      <c r="AO40" s="1"/>
      <c r="AP40" s="1"/>
      <c r="AQ40" s="1"/>
      <c r="AR40" s="1"/>
      <c r="AS40" s="1"/>
      <c r="AT40" s="1"/>
      <c r="AU40" s="1"/>
      <c r="AV40" s="1"/>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row>
    <row r="41" spans="1:114" x14ac:dyDescent="0.25">
      <c r="A41" s="3"/>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7"/>
      <c r="AE41" s="7"/>
      <c r="AF41" s="4"/>
      <c r="AG41" s="4"/>
      <c r="AH41" s="4"/>
      <c r="AI41" s="4"/>
      <c r="AJ41" s="4"/>
      <c r="AK41" s="4"/>
      <c r="AL41" s="4"/>
      <c r="AM41" s="1"/>
      <c r="AN41" s="1"/>
      <c r="AO41" s="1"/>
      <c r="AP41" s="1"/>
      <c r="AQ41" s="1"/>
      <c r="AR41" s="1"/>
      <c r="AS41" s="1"/>
      <c r="AT41" s="1"/>
      <c r="AU41" s="1"/>
      <c r="AV41" s="1"/>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row>
    <row r="42" spans="1:114" x14ac:dyDescent="0.25">
      <c r="A42" s="3"/>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7"/>
      <c r="AE42" s="7"/>
      <c r="AF42" s="4"/>
      <c r="AG42" s="4"/>
      <c r="AH42" s="4"/>
      <c r="AI42" s="4"/>
      <c r="AJ42" s="4"/>
      <c r="AK42" s="4"/>
      <c r="AL42" s="4"/>
      <c r="AM42" s="1"/>
      <c r="AN42" s="1"/>
      <c r="AO42" s="1"/>
      <c r="AP42" s="1"/>
      <c r="AQ42" s="1"/>
      <c r="AR42" s="1"/>
      <c r="AS42" s="1"/>
      <c r="AT42" s="1"/>
      <c r="AU42" s="1"/>
      <c r="AV42" s="1"/>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row>
    <row r="43" spans="1:114" x14ac:dyDescent="0.25">
      <c r="A43" s="3"/>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7"/>
      <c r="AE43" s="7"/>
      <c r="AF43" s="4"/>
      <c r="AG43" s="4"/>
      <c r="AH43" s="4"/>
      <c r="AI43" s="4"/>
      <c r="AJ43" s="4"/>
      <c r="AK43" s="4"/>
      <c r="AL43" s="4"/>
      <c r="AM43" s="1"/>
      <c r="AN43" s="1"/>
      <c r="AO43" s="1"/>
      <c r="AP43" s="1"/>
      <c r="AQ43" s="1"/>
      <c r="AR43" s="1"/>
      <c r="AS43" s="1"/>
      <c r="AT43" s="1"/>
      <c r="AU43" s="1"/>
      <c r="AV43" s="1"/>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row>
    <row r="44" spans="1:114" x14ac:dyDescent="0.25">
      <c r="A44" s="3"/>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7"/>
      <c r="AE44" s="7"/>
      <c r="AF44" s="4"/>
      <c r="AG44" s="4"/>
      <c r="AH44" s="4"/>
      <c r="AI44" s="4"/>
      <c r="AJ44" s="4"/>
      <c r="AK44" s="4"/>
      <c r="AL44" s="4"/>
      <c r="AM44" s="1"/>
      <c r="AN44" s="1"/>
      <c r="AO44" s="1"/>
      <c r="AP44" s="1"/>
      <c r="AQ44" s="1"/>
      <c r="AR44" s="1"/>
      <c r="AS44" s="1"/>
      <c r="AT44" s="1"/>
      <c r="AU44" s="1"/>
      <c r="AV44" s="1"/>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row>
    <row r="45" spans="1:114" x14ac:dyDescent="0.25">
      <c r="A45" s="3"/>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7"/>
      <c r="AE45" s="7"/>
      <c r="AF45" s="4"/>
      <c r="AG45" s="4"/>
      <c r="AH45" s="4"/>
      <c r="AI45" s="4"/>
      <c r="AJ45" s="4"/>
      <c r="AK45" s="4"/>
      <c r="AL45" s="4"/>
      <c r="AM45" s="1"/>
      <c r="AN45" s="1"/>
      <c r="AO45" s="1"/>
      <c r="AP45" s="1"/>
      <c r="AQ45" s="1"/>
      <c r="AR45" s="1"/>
      <c r="AS45" s="1"/>
      <c r="AT45" s="1"/>
      <c r="AU45" s="1"/>
      <c r="AV45" s="1"/>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row>
    <row r="46" spans="1:114" x14ac:dyDescent="0.25">
      <c r="A46" s="3"/>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7"/>
      <c r="AE46" s="7"/>
      <c r="AF46" s="4"/>
      <c r="AG46" s="4"/>
      <c r="AH46" s="4"/>
      <c r="AI46" s="4"/>
      <c r="AJ46" s="4"/>
      <c r="AK46" s="4"/>
      <c r="AL46" s="4"/>
      <c r="AM46" s="1"/>
      <c r="AN46" s="1"/>
      <c r="AO46" s="1"/>
      <c r="AP46" s="1"/>
      <c r="AQ46" s="1"/>
      <c r="AR46" s="1"/>
      <c r="AS46" s="1"/>
      <c r="AT46" s="1"/>
      <c r="AU46" s="1"/>
      <c r="AV46" s="1"/>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row>
    <row r="47" spans="1:114" x14ac:dyDescent="0.25">
      <c r="A47" s="3"/>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7"/>
      <c r="AE47" s="7"/>
      <c r="AF47" s="4"/>
      <c r="AG47" s="4"/>
      <c r="AH47" s="4"/>
      <c r="AI47" s="4"/>
      <c r="AJ47" s="4"/>
      <c r="AK47" s="4"/>
      <c r="AL47" s="4"/>
      <c r="AM47" s="1"/>
      <c r="AN47" s="1"/>
      <c r="AO47" s="1"/>
      <c r="AP47" s="1"/>
      <c r="AQ47" s="1"/>
      <c r="AR47" s="1"/>
      <c r="AS47" s="1"/>
      <c r="AT47" s="1"/>
      <c r="AU47" s="1"/>
      <c r="AV47" s="1"/>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row>
    <row r="48" spans="1:114" x14ac:dyDescent="0.25">
      <c r="A48" s="3"/>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7"/>
      <c r="AE48" s="7"/>
      <c r="AF48" s="4"/>
      <c r="AG48" s="4"/>
      <c r="AH48" s="4"/>
      <c r="AI48" s="4"/>
      <c r="AJ48" s="4"/>
      <c r="AK48" s="4"/>
      <c r="AL48" s="4"/>
      <c r="AM48" s="1"/>
      <c r="AN48" s="1"/>
      <c r="AO48" s="1"/>
      <c r="AP48" s="1"/>
      <c r="AQ48" s="1"/>
      <c r="AR48" s="1"/>
      <c r="AS48" s="1"/>
      <c r="AT48" s="1"/>
      <c r="AU48" s="1"/>
      <c r="AV48" s="1"/>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row>
    <row r="49" spans="1:114" x14ac:dyDescent="0.25">
      <c r="A49" s="3"/>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7"/>
      <c r="AE49" s="7"/>
      <c r="AF49" s="4"/>
      <c r="AG49" s="4"/>
      <c r="AH49" s="4"/>
      <c r="AI49" s="4"/>
      <c r="AJ49" s="4"/>
      <c r="AK49" s="4"/>
      <c r="AL49" s="4"/>
      <c r="AM49" s="1"/>
      <c r="AN49" s="1"/>
      <c r="AO49" s="1"/>
      <c r="AP49" s="1"/>
      <c r="AQ49" s="1"/>
      <c r="AR49" s="1"/>
      <c r="AS49" s="1"/>
      <c r="AT49" s="1"/>
      <c r="AU49" s="1"/>
      <c r="AV49" s="1"/>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row>
    <row r="50" spans="1:114" x14ac:dyDescent="0.25">
      <c r="A50" s="3"/>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7"/>
      <c r="AE50" s="7"/>
      <c r="AF50" s="4"/>
      <c r="AG50" s="4"/>
      <c r="AH50" s="4"/>
      <c r="AI50" s="4"/>
      <c r="AJ50" s="4"/>
      <c r="AK50" s="4"/>
      <c r="AL50" s="4"/>
      <c r="AM50" s="1"/>
      <c r="AN50" s="1"/>
      <c r="AO50" s="1"/>
      <c r="AP50" s="1"/>
      <c r="AQ50" s="1"/>
      <c r="AR50" s="1"/>
      <c r="AS50" s="1"/>
      <c r="AT50" s="1"/>
      <c r="AU50" s="1"/>
      <c r="AV50" s="1"/>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row>
    <row r="51" spans="1:114" x14ac:dyDescent="0.25">
      <c r="A51" s="3"/>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7"/>
      <c r="AE51" s="7"/>
      <c r="AF51" s="4"/>
      <c r="AG51" s="4"/>
      <c r="AH51" s="4"/>
      <c r="AI51" s="4"/>
      <c r="AJ51" s="4"/>
      <c r="AK51" s="4"/>
      <c r="AL51" s="4"/>
      <c r="AM51" s="1"/>
      <c r="AN51" s="1"/>
      <c r="AO51" s="1"/>
      <c r="AP51" s="1"/>
      <c r="AQ51" s="1"/>
      <c r="AR51" s="1"/>
      <c r="AS51" s="1"/>
      <c r="AT51" s="1"/>
      <c r="AU51" s="1"/>
      <c r="AV51" s="1"/>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row>
    <row r="52" spans="1:114" x14ac:dyDescent="0.25">
      <c r="A52" s="3"/>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7"/>
      <c r="AE52" s="7"/>
      <c r="AF52" s="4"/>
      <c r="AG52" s="4"/>
      <c r="AH52" s="4"/>
      <c r="AI52" s="4"/>
      <c r="AJ52" s="4"/>
      <c r="AK52" s="4"/>
      <c r="AL52" s="4"/>
      <c r="AM52" s="1"/>
      <c r="AN52" s="1"/>
      <c r="AO52" s="1"/>
      <c r="AP52" s="1"/>
      <c r="AQ52" s="1"/>
      <c r="AR52" s="1"/>
      <c r="AS52" s="1"/>
      <c r="AT52" s="1"/>
      <c r="AU52" s="1"/>
      <c r="AV52" s="1"/>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row>
    <row r="53" spans="1:114" x14ac:dyDescent="0.25">
      <c r="A53" s="3"/>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7"/>
      <c r="AE53" s="7"/>
      <c r="AF53" s="4"/>
      <c r="AG53" s="4"/>
      <c r="AH53" s="4"/>
      <c r="AI53" s="4"/>
      <c r="AJ53" s="4"/>
      <c r="AK53" s="4"/>
      <c r="AL53" s="4"/>
      <c r="AM53" s="1"/>
      <c r="AN53" s="1"/>
      <c r="AO53" s="1"/>
      <c r="AP53" s="1"/>
      <c r="AQ53" s="1"/>
      <c r="AR53" s="1"/>
      <c r="AS53" s="1"/>
      <c r="AT53" s="1"/>
      <c r="AU53" s="1"/>
      <c r="AV53" s="1"/>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row>
    <row r="54" spans="1:114" x14ac:dyDescent="0.25">
      <c r="A54" s="3"/>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7"/>
      <c r="AE54" s="7"/>
      <c r="AF54" s="4"/>
      <c r="AG54" s="4"/>
      <c r="AH54" s="4"/>
      <c r="AI54" s="4"/>
      <c r="AJ54" s="4"/>
      <c r="AK54" s="4"/>
      <c r="AL54" s="4"/>
      <c r="AM54" s="1"/>
      <c r="AN54" s="1"/>
      <c r="AO54" s="1"/>
      <c r="AP54" s="1"/>
      <c r="AQ54" s="1"/>
      <c r="AR54" s="1"/>
      <c r="AS54" s="1"/>
      <c r="AT54" s="1"/>
      <c r="AU54" s="1"/>
      <c r="AV54" s="1"/>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row>
    <row r="55" spans="1:114" x14ac:dyDescent="0.25">
      <c r="A55" s="3"/>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7"/>
      <c r="AE55" s="7"/>
      <c r="AF55" s="4"/>
      <c r="AG55" s="4"/>
      <c r="AH55" s="4"/>
      <c r="AI55" s="4"/>
      <c r="AJ55" s="4"/>
      <c r="AK55" s="4"/>
      <c r="AL55" s="4"/>
      <c r="AM55" s="1"/>
      <c r="AN55" s="1"/>
      <c r="AO55" s="1"/>
      <c r="AP55" s="1"/>
      <c r="AQ55" s="1"/>
      <c r="AR55" s="1"/>
      <c r="AS55" s="1"/>
      <c r="AT55" s="1"/>
      <c r="AU55" s="1"/>
      <c r="AV55" s="1"/>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row>
    <row r="56" spans="1:114" x14ac:dyDescent="0.25">
      <c r="A56" s="3"/>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7"/>
      <c r="AE56" s="7"/>
      <c r="AF56" s="4"/>
      <c r="AG56" s="4"/>
      <c r="AH56" s="4"/>
      <c r="AI56" s="4"/>
      <c r="AJ56" s="4"/>
      <c r="AK56" s="4"/>
      <c r="AL56" s="4"/>
      <c r="AM56" s="1"/>
      <c r="AN56" s="1"/>
      <c r="AO56" s="1"/>
      <c r="AP56" s="1"/>
      <c r="AQ56" s="1"/>
      <c r="AR56" s="1"/>
      <c r="AS56" s="1"/>
      <c r="AT56" s="1"/>
      <c r="AU56" s="1"/>
      <c r="AV56" s="1"/>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row>
    <row r="57" spans="1:114" x14ac:dyDescent="0.25">
      <c r="A57" s="3"/>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7"/>
      <c r="AE57" s="7"/>
      <c r="AF57" s="4"/>
      <c r="AG57" s="4"/>
      <c r="AH57" s="4"/>
      <c r="AI57" s="4"/>
      <c r="AJ57" s="4"/>
      <c r="AK57" s="4"/>
      <c r="AL57" s="4"/>
      <c r="AM57" s="1"/>
      <c r="AN57" s="1"/>
      <c r="AO57" s="1"/>
      <c r="AP57" s="1"/>
      <c r="AQ57" s="1"/>
      <c r="AR57" s="1"/>
      <c r="AS57" s="1"/>
      <c r="AT57" s="1"/>
      <c r="AU57" s="1"/>
      <c r="AV57" s="1"/>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row>
    <row r="58" spans="1:114" x14ac:dyDescent="0.25">
      <c r="A58" s="3"/>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7"/>
      <c r="AE58" s="7"/>
      <c r="AF58" s="4"/>
      <c r="AG58" s="4"/>
      <c r="AH58" s="4"/>
      <c r="AI58" s="4"/>
      <c r="AJ58" s="4"/>
      <c r="AK58" s="4"/>
      <c r="AL58" s="4"/>
      <c r="AM58" s="1"/>
      <c r="AN58" s="1"/>
      <c r="AO58" s="1"/>
      <c r="AP58" s="1"/>
      <c r="AQ58" s="1"/>
      <c r="AR58" s="1"/>
      <c r="AS58" s="1"/>
      <c r="AT58" s="1"/>
      <c r="AU58" s="1"/>
      <c r="AV58" s="1"/>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row>
    <row r="59" spans="1:114" x14ac:dyDescent="0.25">
      <c r="A59" s="3"/>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7"/>
      <c r="AE59" s="7"/>
      <c r="AF59" s="4"/>
      <c r="AG59" s="4"/>
      <c r="AH59" s="4"/>
      <c r="AI59" s="4"/>
      <c r="AJ59" s="4"/>
      <c r="AK59" s="4"/>
      <c r="AL59" s="4"/>
      <c r="AM59" s="1"/>
      <c r="AN59" s="1"/>
      <c r="AO59" s="1"/>
      <c r="AP59" s="1"/>
      <c r="AQ59" s="1"/>
      <c r="AR59" s="1"/>
      <c r="AS59" s="1"/>
      <c r="AT59" s="1"/>
      <c r="AU59" s="1"/>
      <c r="AV59" s="1"/>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row>
    <row r="60" spans="1:114" x14ac:dyDescent="0.25">
      <c r="A60" s="3"/>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7"/>
      <c r="AE60" s="7"/>
      <c r="AF60" s="4"/>
      <c r="AG60" s="4"/>
      <c r="AH60" s="4"/>
      <c r="AI60" s="4"/>
      <c r="AJ60" s="4"/>
      <c r="AK60" s="4"/>
      <c r="AL60" s="4"/>
      <c r="AM60" s="1"/>
      <c r="AN60" s="1"/>
      <c r="AO60" s="1"/>
      <c r="AP60" s="1"/>
      <c r="AQ60" s="1"/>
      <c r="AR60" s="1"/>
      <c r="AS60" s="1"/>
      <c r="AT60" s="1"/>
      <c r="AU60" s="1"/>
      <c r="AV60" s="1"/>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row>
    <row r="61" spans="1:114" x14ac:dyDescent="0.25">
      <c r="A61" s="3"/>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7"/>
      <c r="AE61" s="7"/>
      <c r="AF61" s="4"/>
      <c r="AG61" s="4"/>
      <c r="AH61" s="4"/>
      <c r="AI61" s="4"/>
      <c r="AJ61" s="4"/>
      <c r="AK61" s="4"/>
      <c r="AL61" s="4"/>
      <c r="AM61" s="1"/>
      <c r="AN61" s="1"/>
      <c r="AO61" s="1"/>
      <c r="AP61" s="1"/>
      <c r="AQ61" s="1"/>
      <c r="AR61" s="1"/>
      <c r="AS61" s="1"/>
      <c r="AT61" s="1"/>
      <c r="AU61" s="1"/>
      <c r="AV61" s="1"/>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row>
    <row r="62" spans="1:114" x14ac:dyDescent="0.25">
      <c r="A62" s="3"/>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7"/>
      <c r="AE62" s="7"/>
      <c r="AF62" s="4"/>
      <c r="AG62" s="4"/>
      <c r="AH62" s="4"/>
      <c r="AI62" s="4"/>
      <c r="AJ62" s="4"/>
      <c r="AK62" s="4"/>
      <c r="AL62" s="4"/>
      <c r="AM62" s="1"/>
      <c r="AN62" s="1"/>
      <c r="AO62" s="1"/>
      <c r="AP62" s="1"/>
      <c r="AQ62" s="1"/>
      <c r="AR62" s="1"/>
      <c r="AS62" s="1"/>
      <c r="AT62" s="1"/>
      <c r="AU62" s="1"/>
      <c r="AV62" s="1"/>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row>
    <row r="63" spans="1:114" x14ac:dyDescent="0.25">
      <c r="A63" s="3"/>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7"/>
      <c r="AE63" s="7"/>
      <c r="AF63" s="4"/>
      <c r="AG63" s="4"/>
      <c r="AH63" s="4"/>
      <c r="AI63" s="4"/>
      <c r="AJ63" s="4"/>
      <c r="AK63" s="4"/>
      <c r="AL63" s="4"/>
      <c r="AM63" s="1"/>
      <c r="AN63" s="1"/>
      <c r="AO63" s="1"/>
      <c r="AP63" s="1"/>
      <c r="AQ63" s="1"/>
      <c r="AR63" s="1"/>
      <c r="AS63" s="1"/>
      <c r="AT63" s="1"/>
      <c r="AU63" s="1"/>
      <c r="AV63" s="1"/>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row>
    <row r="64" spans="1:114" x14ac:dyDescent="0.25">
      <c r="A64" s="3"/>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7"/>
      <c r="AE64" s="7"/>
      <c r="AF64" s="4"/>
      <c r="AG64" s="4"/>
      <c r="AH64" s="4"/>
      <c r="AI64" s="4"/>
      <c r="AJ64" s="4"/>
      <c r="AK64" s="4"/>
      <c r="AL64" s="4"/>
      <c r="AM64" s="1"/>
      <c r="AN64" s="1"/>
      <c r="AO64" s="1"/>
      <c r="AP64" s="1"/>
      <c r="AQ64" s="1"/>
      <c r="AR64" s="1"/>
      <c r="AS64" s="1"/>
      <c r="AT64" s="1"/>
      <c r="AU64" s="1"/>
      <c r="AV64" s="1"/>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row>
    <row r="65" spans="1:114" x14ac:dyDescent="0.25">
      <c r="A65" s="3"/>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7"/>
      <c r="AE65" s="7"/>
      <c r="AF65" s="4"/>
      <c r="AG65" s="4"/>
      <c r="AH65" s="4"/>
      <c r="AI65" s="4"/>
      <c r="AJ65" s="4"/>
      <c r="AK65" s="4"/>
      <c r="AL65" s="4"/>
      <c r="AM65" s="1"/>
      <c r="AN65" s="1"/>
      <c r="AO65" s="1"/>
      <c r="AP65" s="1"/>
      <c r="AQ65" s="1"/>
      <c r="AR65" s="1"/>
      <c r="AS65" s="1"/>
      <c r="AT65" s="1"/>
      <c r="AU65" s="1"/>
      <c r="AV65" s="1"/>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row>
    <row r="66" spans="1:114" x14ac:dyDescent="0.25">
      <c r="A66" s="3"/>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7"/>
      <c r="AE66" s="7"/>
      <c r="AF66" s="4"/>
      <c r="AG66" s="4"/>
      <c r="AH66" s="4"/>
      <c r="AI66" s="4"/>
      <c r="AJ66" s="4"/>
      <c r="AK66" s="4"/>
      <c r="AL66" s="4"/>
      <c r="AM66" s="1"/>
      <c r="AN66" s="1"/>
      <c r="AO66" s="1"/>
      <c r="AP66" s="1"/>
      <c r="AQ66" s="1"/>
      <c r="AR66" s="1"/>
      <c r="AS66" s="1"/>
      <c r="AT66" s="1"/>
      <c r="AU66" s="1"/>
      <c r="AV66" s="1"/>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row>
    <row r="67" spans="1:114" x14ac:dyDescent="0.25">
      <c r="A67" s="3"/>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7"/>
      <c r="AE67" s="7"/>
      <c r="AF67" s="4"/>
      <c r="AG67" s="4"/>
      <c r="AH67" s="4"/>
      <c r="AI67" s="4"/>
      <c r="AJ67" s="4"/>
      <c r="AK67" s="4"/>
      <c r="AL67" s="4"/>
      <c r="AM67" s="1"/>
      <c r="AN67" s="1"/>
      <c r="AO67" s="1"/>
      <c r="AP67" s="1"/>
      <c r="AQ67" s="1"/>
      <c r="AR67" s="1"/>
      <c r="AS67" s="1"/>
      <c r="AT67" s="1"/>
      <c r="AU67" s="1"/>
      <c r="AV67" s="1"/>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row>
    <row r="68" spans="1:114" x14ac:dyDescent="0.25">
      <c r="A68" s="3"/>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7"/>
      <c r="AE68" s="7"/>
      <c r="AF68" s="4"/>
      <c r="AG68" s="4"/>
      <c r="AH68" s="4"/>
      <c r="AI68" s="4"/>
      <c r="AJ68" s="4"/>
      <c r="AK68" s="4"/>
      <c r="AL68" s="4"/>
      <c r="AM68" s="1"/>
      <c r="AN68" s="1"/>
      <c r="AO68" s="1"/>
      <c r="AP68" s="1"/>
      <c r="AQ68" s="1"/>
      <c r="AR68" s="1"/>
      <c r="AS68" s="1"/>
      <c r="AT68" s="1"/>
      <c r="AU68" s="1"/>
      <c r="AV68" s="1"/>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row>
    <row r="69" spans="1:114" x14ac:dyDescent="0.25">
      <c r="A69" s="3"/>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7"/>
      <c r="AE69" s="7"/>
      <c r="AF69" s="4"/>
      <c r="AG69" s="4"/>
      <c r="AH69" s="4"/>
      <c r="AI69" s="4"/>
      <c r="AJ69" s="4"/>
      <c r="AK69" s="4"/>
      <c r="AL69" s="4"/>
      <c r="AM69" s="1"/>
      <c r="AN69" s="1"/>
      <c r="AO69" s="1"/>
      <c r="AP69" s="1"/>
      <c r="AQ69" s="1"/>
      <c r="AR69" s="1"/>
      <c r="AS69" s="1"/>
      <c r="AT69" s="1"/>
      <c r="AU69" s="1"/>
      <c r="AV69" s="1"/>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row>
    <row r="70" spans="1:114" x14ac:dyDescent="0.25">
      <c r="A70" s="3"/>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7"/>
      <c r="AE70" s="7"/>
      <c r="AF70" s="4"/>
      <c r="AG70" s="4"/>
      <c r="AH70" s="4"/>
      <c r="AI70" s="4"/>
      <c r="AJ70" s="4"/>
      <c r="AK70" s="4"/>
      <c r="AL70" s="4"/>
      <c r="AM70" s="1"/>
      <c r="AN70" s="1"/>
      <c r="AO70" s="1"/>
      <c r="AP70" s="1"/>
      <c r="AQ70" s="1"/>
      <c r="AR70" s="1"/>
      <c r="AS70" s="1"/>
      <c r="AT70" s="1"/>
      <c r="AU70" s="1"/>
      <c r="AV70" s="1"/>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row>
    <row r="71" spans="1:114" x14ac:dyDescent="0.25">
      <c r="A71" s="3"/>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7"/>
      <c r="AE71" s="7"/>
      <c r="AF71" s="4"/>
      <c r="AG71" s="4"/>
      <c r="AH71" s="4"/>
      <c r="AI71" s="4"/>
      <c r="AJ71" s="4"/>
      <c r="AK71" s="4"/>
      <c r="AL71" s="4"/>
      <c r="AM71" s="1"/>
      <c r="AN71" s="1"/>
      <c r="AO71" s="1"/>
      <c r="AP71" s="1"/>
      <c r="AQ71" s="1"/>
      <c r="AR71" s="1"/>
      <c r="AS71" s="1"/>
      <c r="AT71" s="1"/>
      <c r="AU71" s="1"/>
      <c r="AV71" s="1"/>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row>
    <row r="72" spans="1:114" x14ac:dyDescent="0.25">
      <c r="A72" s="3"/>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7"/>
      <c r="AE72" s="7"/>
      <c r="AF72" s="4"/>
      <c r="AG72" s="4"/>
      <c r="AH72" s="4"/>
      <c r="AI72" s="4"/>
      <c r="AJ72" s="4"/>
      <c r="AK72" s="4"/>
      <c r="AL72" s="4"/>
      <c r="AM72" s="1"/>
      <c r="AN72" s="1"/>
      <c r="AO72" s="1"/>
      <c r="AP72" s="1"/>
      <c r="AQ72" s="1"/>
      <c r="AR72" s="1"/>
      <c r="AS72" s="1"/>
      <c r="AT72" s="1"/>
      <c r="AU72" s="1"/>
      <c r="AV72" s="1"/>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row>
    <row r="73" spans="1:114" x14ac:dyDescent="0.25">
      <c r="A73" s="3"/>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7"/>
      <c r="AE73" s="7"/>
      <c r="AF73" s="4"/>
      <c r="AG73" s="4"/>
      <c r="AH73" s="4"/>
      <c r="AI73" s="4"/>
      <c r="AJ73" s="4"/>
      <c r="AK73" s="4"/>
      <c r="AL73" s="4"/>
      <c r="AM73" s="1"/>
      <c r="AN73" s="1"/>
      <c r="AO73" s="1"/>
      <c r="AP73" s="1"/>
      <c r="AQ73" s="1"/>
      <c r="AR73" s="1"/>
      <c r="AS73" s="1"/>
      <c r="AT73" s="1"/>
      <c r="AU73" s="1"/>
      <c r="AV73" s="1"/>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row>
    <row r="74" spans="1:114" x14ac:dyDescent="0.25">
      <c r="A74" s="3"/>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7"/>
      <c r="AE74" s="7"/>
      <c r="AF74" s="4"/>
      <c r="AG74" s="4"/>
      <c r="AH74" s="4"/>
      <c r="AI74" s="4"/>
      <c r="AJ74" s="4"/>
      <c r="AK74" s="4"/>
      <c r="AL74" s="4"/>
      <c r="AM74" s="1"/>
      <c r="AN74" s="1"/>
      <c r="AO74" s="1"/>
      <c r="AP74" s="1"/>
      <c r="AQ74" s="1"/>
      <c r="AR74" s="1"/>
      <c r="AS74" s="1"/>
      <c r="AT74" s="1"/>
      <c r="AU74" s="1"/>
      <c r="AV74" s="1"/>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row>
    <row r="75" spans="1:114" x14ac:dyDescent="0.25">
      <c r="A75" s="3"/>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7"/>
      <c r="AE75" s="7"/>
      <c r="AF75" s="4"/>
      <c r="AG75" s="4"/>
      <c r="AH75" s="4"/>
      <c r="AI75" s="4"/>
      <c r="AJ75" s="4"/>
      <c r="AK75" s="4"/>
      <c r="AL75" s="4"/>
      <c r="AM75" s="1"/>
      <c r="AN75" s="1"/>
      <c r="AO75" s="1"/>
      <c r="AP75" s="1"/>
      <c r="AQ75" s="1"/>
      <c r="AR75" s="1"/>
      <c r="AS75" s="1"/>
      <c r="AT75" s="1"/>
      <c r="AU75" s="1"/>
      <c r="AV75" s="1"/>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row>
    <row r="76" spans="1:114" x14ac:dyDescent="0.25">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7"/>
      <c r="AE76" s="7"/>
      <c r="AF76" s="4"/>
      <c r="AG76" s="4"/>
      <c r="AH76" s="4"/>
      <c r="AI76" s="4"/>
      <c r="AJ76" s="4"/>
      <c r="AK76" s="4"/>
      <c r="AL76" s="4"/>
      <c r="AM76" s="1"/>
      <c r="AN76" s="1"/>
      <c r="AO76" s="1"/>
      <c r="AP76" s="1"/>
      <c r="AQ76" s="1"/>
      <c r="AR76" s="1"/>
      <c r="AS76" s="1"/>
      <c r="AT76" s="1"/>
      <c r="AU76" s="1"/>
      <c r="AV76" s="1"/>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row>
    <row r="77" spans="1:114" x14ac:dyDescent="0.25">
      <c r="A77" s="3"/>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7"/>
      <c r="AE77" s="7"/>
      <c r="AF77" s="4"/>
      <c r="AG77" s="4"/>
      <c r="AH77" s="4"/>
      <c r="AI77" s="4"/>
      <c r="AJ77" s="4"/>
      <c r="AK77" s="4"/>
      <c r="AL77" s="4"/>
      <c r="AM77" s="1"/>
      <c r="AN77" s="1"/>
      <c r="AO77" s="1"/>
      <c r="AP77" s="1"/>
      <c r="AQ77" s="1"/>
      <c r="AR77" s="1"/>
      <c r="AS77" s="1"/>
      <c r="AT77" s="1"/>
      <c r="AU77" s="1"/>
      <c r="AV77" s="1"/>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row>
    <row r="78" spans="1:114" x14ac:dyDescent="0.25">
      <c r="A78" s="3"/>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7"/>
      <c r="AE78" s="7"/>
      <c r="AF78" s="4"/>
      <c r="AG78" s="4"/>
      <c r="AH78" s="4"/>
      <c r="AI78" s="4"/>
      <c r="AJ78" s="4"/>
      <c r="AK78" s="4"/>
      <c r="AL78" s="4"/>
      <c r="AM78" s="1"/>
      <c r="AN78" s="1"/>
      <c r="AO78" s="1"/>
      <c r="AP78" s="1"/>
      <c r="AQ78" s="1"/>
      <c r="AR78" s="1"/>
      <c r="AS78" s="1"/>
      <c r="AT78" s="1"/>
      <c r="AU78" s="1"/>
      <c r="AV78" s="1"/>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row>
    <row r="79" spans="1:114" x14ac:dyDescent="0.25">
      <c r="A79" s="3"/>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7"/>
      <c r="AE79" s="7"/>
      <c r="AF79" s="4"/>
      <c r="AG79" s="4"/>
      <c r="AH79" s="4"/>
      <c r="AI79" s="4"/>
      <c r="AJ79" s="4"/>
      <c r="AK79" s="4"/>
      <c r="AL79" s="4"/>
      <c r="AM79" s="1"/>
      <c r="AN79" s="1"/>
      <c r="AO79" s="1"/>
      <c r="AP79" s="1"/>
      <c r="AQ79" s="1"/>
      <c r="AR79" s="1"/>
      <c r="AS79" s="1"/>
      <c r="AT79" s="1"/>
      <c r="AU79" s="1"/>
      <c r="AV79" s="1"/>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row>
    <row r="80" spans="1:114" x14ac:dyDescent="0.25">
      <c r="A80" s="3"/>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7"/>
      <c r="AE80" s="7"/>
      <c r="AF80" s="4"/>
      <c r="AG80" s="4"/>
      <c r="AH80" s="4"/>
      <c r="AI80" s="4"/>
      <c r="AJ80" s="4"/>
      <c r="AK80" s="4"/>
      <c r="AL80" s="4"/>
      <c r="AM80" s="1"/>
      <c r="AN80" s="1"/>
      <c r="AO80" s="1"/>
      <c r="AP80" s="1"/>
      <c r="AQ80" s="1"/>
      <c r="AR80" s="1"/>
      <c r="AS80" s="1"/>
      <c r="AT80" s="1"/>
      <c r="AU80" s="1"/>
      <c r="AV80" s="1"/>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row>
    <row r="81" spans="1:114" x14ac:dyDescent="0.25">
      <c r="A81" s="3"/>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7"/>
      <c r="AE81" s="7"/>
      <c r="AF81" s="4"/>
      <c r="AG81" s="4"/>
      <c r="AH81" s="4"/>
      <c r="AI81" s="4"/>
      <c r="AJ81" s="4"/>
      <c r="AK81" s="4"/>
      <c r="AL81" s="4"/>
      <c r="AM81" s="1"/>
      <c r="AN81" s="1"/>
      <c r="AO81" s="1"/>
      <c r="AP81" s="1"/>
      <c r="AQ81" s="1"/>
      <c r="AR81" s="1"/>
      <c r="AS81" s="1"/>
      <c r="AT81" s="1"/>
      <c r="AU81" s="1"/>
      <c r="AV81" s="1"/>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row>
    <row r="82" spans="1:114" x14ac:dyDescent="0.25">
      <c r="A82" s="3"/>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7"/>
      <c r="AE82" s="7"/>
      <c r="AF82" s="4"/>
      <c r="AG82" s="4"/>
      <c r="AH82" s="4"/>
      <c r="AI82" s="4"/>
      <c r="AJ82" s="4"/>
      <c r="AK82" s="4"/>
      <c r="AL82" s="4"/>
      <c r="AM82" s="1"/>
      <c r="AN82" s="1"/>
      <c r="AO82" s="1"/>
      <c r="AP82" s="1"/>
      <c r="AQ82" s="1"/>
      <c r="AR82" s="1"/>
      <c r="AS82" s="1"/>
      <c r="AT82" s="1"/>
      <c r="AU82" s="1"/>
      <c r="AV82" s="1"/>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row>
    <row r="83" spans="1:114" x14ac:dyDescent="0.25">
      <c r="A83" s="3"/>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7"/>
      <c r="AE83" s="7"/>
      <c r="AF83" s="4"/>
      <c r="AG83" s="4"/>
      <c r="AH83" s="4"/>
      <c r="AI83" s="4"/>
      <c r="AJ83" s="4"/>
      <c r="AK83" s="4"/>
      <c r="AL83" s="4"/>
      <c r="AM83" s="1"/>
      <c r="AN83" s="1"/>
      <c r="AO83" s="1"/>
      <c r="AP83" s="1"/>
      <c r="AQ83" s="1"/>
      <c r="AR83" s="1"/>
      <c r="AS83" s="1"/>
      <c r="AT83" s="1"/>
      <c r="AU83" s="1"/>
      <c r="AV83" s="1"/>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row>
    <row r="84" spans="1:114" x14ac:dyDescent="0.25">
      <c r="A84" s="3"/>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7"/>
      <c r="AE84" s="7"/>
      <c r="AF84" s="4"/>
      <c r="AG84" s="4"/>
      <c r="AH84" s="4"/>
      <c r="AI84" s="4"/>
      <c r="AJ84" s="4"/>
      <c r="AK84" s="4"/>
      <c r="AL84" s="4"/>
      <c r="AM84" s="1"/>
      <c r="AN84" s="1"/>
      <c r="AO84" s="1"/>
      <c r="AP84" s="1"/>
      <c r="AQ84" s="1"/>
      <c r="AR84" s="1"/>
      <c r="AS84" s="1"/>
      <c r="AT84" s="1"/>
      <c r="AU84" s="1"/>
      <c r="AV84" s="1"/>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row>
    <row r="85" spans="1:114" x14ac:dyDescent="0.25">
      <c r="A85" s="3"/>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7"/>
      <c r="AE85" s="7"/>
      <c r="AF85" s="4"/>
      <c r="AG85" s="4"/>
      <c r="AH85" s="4"/>
      <c r="AI85" s="4"/>
      <c r="AJ85" s="4"/>
      <c r="AK85" s="4"/>
      <c r="AL85" s="4"/>
      <c r="AM85" s="1"/>
      <c r="AN85" s="1"/>
      <c r="AO85" s="1"/>
      <c r="AP85" s="1"/>
      <c r="AQ85" s="1"/>
      <c r="AR85" s="1"/>
      <c r="AS85" s="1"/>
      <c r="AT85" s="1"/>
      <c r="AU85" s="1"/>
      <c r="AV85" s="1"/>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row>
    <row r="86" spans="1:114" x14ac:dyDescent="0.25">
      <c r="A86" s="3"/>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7"/>
      <c r="AE86" s="7"/>
      <c r="AF86" s="4"/>
      <c r="AG86" s="4"/>
      <c r="AH86" s="4"/>
      <c r="AI86" s="4"/>
      <c r="AJ86" s="4"/>
      <c r="AK86" s="4"/>
      <c r="AL86" s="4"/>
      <c r="AM86" s="1"/>
      <c r="AN86" s="1"/>
      <c r="AO86" s="1"/>
      <c r="AP86" s="1"/>
      <c r="AQ86" s="1"/>
      <c r="AR86" s="1"/>
      <c r="AS86" s="1"/>
      <c r="AT86" s="1"/>
      <c r="AU86" s="1"/>
      <c r="AV86" s="1"/>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row>
    <row r="87" spans="1:114" x14ac:dyDescent="0.25">
      <c r="A87" s="3"/>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7"/>
      <c r="AE87" s="7"/>
      <c r="AF87" s="4"/>
      <c r="AG87" s="4"/>
      <c r="AH87" s="4"/>
      <c r="AI87" s="4"/>
      <c r="AJ87" s="4"/>
      <c r="AK87" s="4"/>
      <c r="AL87" s="4"/>
      <c r="AM87" s="1"/>
      <c r="AN87" s="1"/>
      <c r="AO87" s="1"/>
      <c r="AP87" s="1"/>
      <c r="AQ87" s="1"/>
      <c r="AR87" s="1"/>
      <c r="AS87" s="1"/>
      <c r="AT87" s="1"/>
      <c r="AU87" s="1"/>
      <c r="AV87" s="1"/>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row>
    <row r="88" spans="1:114" x14ac:dyDescent="0.25">
      <c r="A88" s="3"/>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7"/>
      <c r="AE88" s="7"/>
      <c r="AF88" s="4"/>
      <c r="AG88" s="4"/>
      <c r="AH88" s="4"/>
      <c r="AI88" s="4"/>
      <c r="AJ88" s="4"/>
      <c r="AK88" s="4"/>
      <c r="AL88" s="4"/>
      <c r="AM88" s="1"/>
      <c r="AN88" s="1"/>
      <c r="AO88" s="1"/>
      <c r="AP88" s="1"/>
      <c r="AQ88" s="1"/>
      <c r="AR88" s="1"/>
      <c r="AS88" s="1"/>
      <c r="AT88" s="1"/>
      <c r="AU88" s="1"/>
      <c r="AV88" s="1"/>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row>
    <row r="89" spans="1:114" x14ac:dyDescent="0.25">
      <c r="A89" s="3"/>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7"/>
      <c r="AE89" s="7"/>
      <c r="AF89" s="4"/>
      <c r="AG89" s="4"/>
      <c r="AH89" s="4"/>
      <c r="AI89" s="4"/>
      <c r="AJ89" s="4"/>
      <c r="AK89" s="4"/>
      <c r="AL89" s="4"/>
      <c r="AM89" s="1"/>
      <c r="AN89" s="1"/>
      <c r="AO89" s="1"/>
      <c r="AP89" s="1"/>
      <c r="AQ89" s="1"/>
      <c r="AR89" s="1"/>
      <c r="AS89" s="1"/>
      <c r="AT89" s="1"/>
      <c r="AU89" s="1"/>
      <c r="AV89" s="1"/>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c r="DI89" s="5"/>
      <c r="DJ89" s="5"/>
    </row>
    <row r="90" spans="1:114" x14ac:dyDescent="0.25">
      <c r="A90" s="3"/>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7"/>
      <c r="AE90" s="7"/>
      <c r="AF90" s="4"/>
      <c r="AG90" s="4"/>
      <c r="AH90" s="4"/>
      <c r="AI90" s="4"/>
      <c r="AJ90" s="4"/>
      <c r="AK90" s="4"/>
      <c r="AL90" s="4"/>
      <c r="AM90" s="1"/>
      <c r="AN90" s="1"/>
      <c r="AO90" s="1"/>
      <c r="AP90" s="1"/>
      <c r="AQ90" s="1"/>
      <c r="AR90" s="1"/>
      <c r="AS90" s="1"/>
      <c r="AT90" s="1"/>
      <c r="AU90" s="1"/>
      <c r="AV90" s="1"/>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row>
    <row r="91" spans="1:114" x14ac:dyDescent="0.25">
      <c r="A91" s="3"/>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7"/>
      <c r="AE91" s="7"/>
      <c r="AF91" s="4"/>
      <c r="AG91" s="4"/>
      <c r="AH91" s="4"/>
      <c r="AI91" s="4"/>
      <c r="AJ91" s="4"/>
      <c r="AK91" s="4"/>
      <c r="AL91" s="4"/>
      <c r="AM91" s="1"/>
      <c r="AN91" s="1"/>
      <c r="AO91" s="1"/>
      <c r="AP91" s="1"/>
      <c r="AQ91" s="1"/>
      <c r="AR91" s="1"/>
      <c r="AS91" s="1"/>
      <c r="AT91" s="1"/>
      <c r="AU91" s="1"/>
      <c r="AV91" s="1"/>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row>
    <row r="92" spans="1:114" x14ac:dyDescent="0.25">
      <c r="A92" s="3"/>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7"/>
      <c r="AE92" s="7"/>
      <c r="AF92" s="4"/>
      <c r="AG92" s="4"/>
      <c r="AH92" s="4"/>
      <c r="AI92" s="4"/>
      <c r="AJ92" s="4"/>
      <c r="AK92" s="4"/>
      <c r="AL92" s="4"/>
      <c r="AM92" s="1"/>
      <c r="AN92" s="1"/>
      <c r="AO92" s="1"/>
      <c r="AP92" s="1"/>
      <c r="AQ92" s="1"/>
      <c r="AR92" s="1"/>
      <c r="AS92" s="1"/>
      <c r="AT92" s="1"/>
      <c r="AU92" s="1"/>
      <c r="AV92" s="1"/>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c r="DI92" s="5"/>
      <c r="DJ92" s="5"/>
    </row>
    <row r="93" spans="1:114" x14ac:dyDescent="0.25">
      <c r="A93" s="3"/>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7"/>
      <c r="AE93" s="7"/>
      <c r="AF93" s="4"/>
      <c r="AG93" s="4"/>
      <c r="AH93" s="4"/>
      <c r="AI93" s="4"/>
      <c r="AJ93" s="4"/>
      <c r="AK93" s="4"/>
      <c r="AL93" s="4"/>
      <c r="AM93" s="1"/>
      <c r="AN93" s="1"/>
      <c r="AO93" s="1"/>
      <c r="AP93" s="1"/>
      <c r="AQ93" s="1"/>
      <c r="AR93" s="1"/>
      <c r="AS93" s="1"/>
      <c r="AT93" s="1"/>
      <c r="AU93" s="1"/>
      <c r="AV93" s="1"/>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c r="DI93" s="5"/>
      <c r="DJ93" s="5"/>
    </row>
    <row r="94" spans="1:114" x14ac:dyDescent="0.25">
      <c r="A94" s="3"/>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7"/>
      <c r="AE94" s="7"/>
      <c r="AF94" s="4"/>
      <c r="AG94" s="4"/>
      <c r="AH94" s="4"/>
      <c r="AI94" s="4"/>
      <c r="AJ94" s="4"/>
      <c r="AK94" s="4"/>
      <c r="AL94" s="4"/>
      <c r="AM94" s="1"/>
      <c r="AN94" s="1"/>
      <c r="AO94" s="1"/>
      <c r="AP94" s="1"/>
      <c r="AQ94" s="1"/>
      <c r="AR94" s="1"/>
      <c r="AS94" s="1"/>
      <c r="AT94" s="1"/>
      <c r="AU94" s="1"/>
      <c r="AV94" s="1"/>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row>
    <row r="95" spans="1:114" x14ac:dyDescent="0.25">
      <c r="A95" s="3"/>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7"/>
      <c r="AE95" s="7"/>
      <c r="AF95" s="4"/>
      <c r="AG95" s="4"/>
      <c r="AH95" s="4"/>
      <c r="AI95" s="4"/>
      <c r="AJ95" s="4"/>
      <c r="AK95" s="4"/>
      <c r="AL95" s="4"/>
      <c r="AM95" s="1"/>
      <c r="AN95" s="1"/>
      <c r="AO95" s="1"/>
      <c r="AP95" s="1"/>
      <c r="AQ95" s="1"/>
      <c r="AR95" s="1"/>
      <c r="AS95" s="1"/>
      <c r="AT95" s="1"/>
      <c r="AU95" s="1"/>
      <c r="AV95" s="1"/>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row>
    <row r="96" spans="1:114" x14ac:dyDescent="0.25">
      <c r="A96" s="3"/>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7"/>
      <c r="AE96" s="7"/>
      <c r="AF96" s="4"/>
      <c r="AG96" s="4"/>
      <c r="AH96" s="4"/>
      <c r="AI96" s="4"/>
      <c r="AJ96" s="4"/>
      <c r="AK96" s="4"/>
      <c r="AL96" s="4"/>
      <c r="AM96" s="1"/>
      <c r="AN96" s="1"/>
      <c r="AO96" s="1"/>
      <c r="AP96" s="1"/>
      <c r="AQ96" s="1"/>
      <c r="AR96" s="1"/>
      <c r="AS96" s="1"/>
      <c r="AT96" s="1"/>
      <c r="AU96" s="1"/>
      <c r="AV96" s="1"/>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c r="DI96" s="5"/>
      <c r="DJ96" s="5"/>
    </row>
    <row r="97" spans="1:114" x14ac:dyDescent="0.25">
      <c r="A97" s="5"/>
      <c r="B97" s="1"/>
      <c r="C97" s="1"/>
      <c r="D97" s="4"/>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4"/>
      <c r="AG97" s="4"/>
      <c r="AH97" s="4"/>
      <c r="AI97" s="4"/>
      <c r="AJ97" s="4"/>
      <c r="AK97" s="4"/>
      <c r="AL97" s="4"/>
      <c r="AM97" s="1"/>
      <c r="AN97" s="1"/>
      <c r="AO97" s="1"/>
      <c r="AP97" s="1"/>
      <c r="AQ97" s="1"/>
      <c r="AR97" s="1"/>
      <c r="AS97" s="1"/>
      <c r="AT97" s="1"/>
      <c r="AU97" s="1"/>
      <c r="AV97" s="1"/>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c r="DI97" s="5"/>
      <c r="DJ97" s="5"/>
    </row>
    <row r="98" spans="1:114" x14ac:dyDescent="0.25">
      <c r="A98" s="5"/>
      <c r="B98" s="1"/>
      <c r="C98" s="1"/>
      <c r="D98" s="4"/>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4"/>
      <c r="AG98" s="4"/>
      <c r="AH98" s="4"/>
      <c r="AI98" s="4"/>
      <c r="AJ98" s="4"/>
      <c r="AK98" s="4"/>
      <c r="AL98" s="4"/>
      <c r="AM98" s="1"/>
      <c r="AN98" s="1"/>
      <c r="AO98" s="1"/>
      <c r="AP98" s="1"/>
      <c r="AQ98" s="1"/>
      <c r="AR98" s="1"/>
      <c r="AS98" s="1"/>
      <c r="AT98" s="1"/>
      <c r="AU98" s="1"/>
      <c r="AV98" s="1"/>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c r="DI98" s="5"/>
      <c r="DJ98" s="5"/>
    </row>
    <row r="99" spans="1:114" x14ac:dyDescent="0.25">
      <c r="A99" s="5"/>
      <c r="B99" s="1"/>
      <c r="C99" s="1"/>
      <c r="D99" s="4"/>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4"/>
      <c r="AG99" s="4"/>
      <c r="AH99" s="4"/>
      <c r="AI99" s="4"/>
      <c r="AJ99" s="4"/>
      <c r="AK99" s="4"/>
      <c r="AL99" s="4"/>
      <c r="AM99" s="1"/>
      <c r="AN99" s="1"/>
      <c r="AO99" s="1"/>
      <c r="AP99" s="1"/>
      <c r="AQ99" s="1"/>
      <c r="AR99" s="1"/>
      <c r="AS99" s="1"/>
      <c r="AT99" s="1"/>
      <c r="AU99" s="1"/>
      <c r="AV99" s="1"/>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c r="DI99" s="5"/>
      <c r="DJ99" s="5"/>
    </row>
    <row r="100" spans="1:114" x14ac:dyDescent="0.25">
      <c r="A100" s="5"/>
      <c r="B100" s="1"/>
      <c r="C100" s="1"/>
      <c r="D100" s="4"/>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4"/>
      <c r="AG100" s="4"/>
      <c r="AH100" s="4"/>
      <c r="AI100" s="4"/>
      <c r="AJ100" s="4"/>
      <c r="AK100" s="4"/>
      <c r="AL100" s="4"/>
      <c r="AM100" s="1"/>
      <c r="AN100" s="1"/>
      <c r="AO100" s="1"/>
      <c r="AP100" s="1"/>
      <c r="AQ100" s="1"/>
      <c r="AR100" s="1"/>
      <c r="AS100" s="1"/>
      <c r="AT100" s="1"/>
      <c r="AU100" s="1"/>
      <c r="AV100" s="1"/>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row>
    <row r="101" spans="1:114" x14ac:dyDescent="0.25">
      <c r="A101" s="5"/>
      <c r="B101" s="1"/>
      <c r="C101" s="1"/>
      <c r="D101" s="4"/>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4"/>
      <c r="AG101" s="4"/>
      <c r="AH101" s="4"/>
      <c r="AI101" s="4"/>
      <c r="AJ101" s="4"/>
      <c r="AK101" s="4"/>
      <c r="AL101" s="4"/>
      <c r="AM101" s="1"/>
      <c r="AN101" s="1"/>
      <c r="AO101" s="1"/>
      <c r="AP101" s="1"/>
      <c r="AQ101" s="1"/>
      <c r="AR101" s="1"/>
      <c r="AS101" s="1"/>
      <c r="AT101" s="1"/>
      <c r="AU101" s="1"/>
      <c r="AV101" s="1"/>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c r="DI101" s="5"/>
      <c r="DJ101" s="5"/>
    </row>
    <row r="102" spans="1:114" x14ac:dyDescent="0.25">
      <c r="A102" s="5"/>
      <c r="B102" s="1"/>
      <c r="C102" s="1"/>
      <c r="D102" s="4"/>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4"/>
      <c r="AG102" s="4"/>
      <c r="AH102" s="4"/>
      <c r="AI102" s="4"/>
      <c r="AJ102" s="4"/>
      <c r="AK102" s="4"/>
      <c r="AL102" s="4"/>
      <c r="AM102" s="1"/>
      <c r="AN102" s="1"/>
      <c r="AO102" s="1"/>
      <c r="AP102" s="1"/>
      <c r="AQ102" s="1"/>
      <c r="AR102" s="1"/>
      <c r="AS102" s="1"/>
      <c r="AT102" s="1"/>
      <c r="AU102" s="1"/>
      <c r="AV102" s="1"/>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row>
    <row r="103" spans="1:114" x14ac:dyDescent="0.25">
      <c r="A103" s="5"/>
      <c r="B103" s="1"/>
      <c r="C103" s="1"/>
      <c r="D103" s="4"/>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4"/>
      <c r="AG103" s="4"/>
      <c r="AH103" s="4"/>
      <c r="AI103" s="4"/>
      <c r="AJ103" s="4"/>
      <c r="AK103" s="4"/>
      <c r="AL103" s="4"/>
      <c r="AM103" s="1"/>
      <c r="AN103" s="1"/>
      <c r="AO103" s="1"/>
      <c r="AP103" s="1"/>
      <c r="AQ103" s="1"/>
      <c r="AR103" s="1"/>
      <c r="AS103" s="1"/>
      <c r="AT103" s="1"/>
      <c r="AU103" s="1"/>
      <c r="AV103" s="1"/>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5"/>
      <c r="DG103" s="5"/>
      <c r="DH103" s="5"/>
      <c r="DI103" s="5"/>
      <c r="DJ103" s="5"/>
    </row>
    <row r="104" spans="1:114" x14ac:dyDescent="0.25">
      <c r="A104" s="5"/>
      <c r="B104" s="1"/>
      <c r="C104" s="1"/>
      <c r="D104" s="4"/>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4"/>
      <c r="AG104" s="4"/>
      <c r="AH104" s="4"/>
      <c r="AI104" s="4"/>
      <c r="AJ104" s="4"/>
      <c r="AK104" s="4"/>
      <c r="AL104" s="4"/>
      <c r="AM104" s="1"/>
      <c r="AN104" s="1"/>
      <c r="AO104" s="1"/>
      <c r="AP104" s="1"/>
      <c r="AQ104" s="1"/>
      <c r="AR104" s="1"/>
      <c r="AS104" s="1"/>
      <c r="AT104" s="1"/>
      <c r="AU104" s="1"/>
      <c r="AV104" s="1"/>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c r="DJ104" s="5"/>
    </row>
    <row r="105" spans="1:114" x14ac:dyDescent="0.25">
      <c r="A105" s="5"/>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4"/>
      <c r="AG105" s="4"/>
      <c r="AH105" s="4"/>
      <c r="AI105" s="4"/>
      <c r="AJ105" s="4"/>
      <c r="AK105" s="4"/>
      <c r="AL105" s="4"/>
      <c r="AM105" s="1"/>
      <c r="AN105" s="1"/>
      <c r="AO105" s="1"/>
      <c r="AP105" s="1"/>
      <c r="AQ105" s="1"/>
      <c r="AR105" s="1"/>
      <c r="AS105" s="1"/>
      <c r="AT105" s="1"/>
      <c r="AU105" s="1"/>
      <c r="AV105" s="1"/>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5"/>
      <c r="DG105" s="5"/>
      <c r="DH105" s="5"/>
      <c r="DI105" s="5"/>
      <c r="DJ105" s="5"/>
    </row>
    <row r="106" spans="1:114" x14ac:dyDescent="0.25">
      <c r="A106" s="5"/>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4"/>
      <c r="AG106" s="4"/>
      <c r="AH106" s="4"/>
      <c r="AI106" s="4"/>
      <c r="AJ106" s="4"/>
      <c r="AK106" s="4"/>
      <c r="AL106" s="4"/>
      <c r="AM106" s="1"/>
      <c r="AN106" s="1"/>
      <c r="AO106" s="1"/>
      <c r="AP106" s="1"/>
      <c r="AQ106" s="1"/>
      <c r="AR106" s="1"/>
      <c r="AS106" s="1"/>
      <c r="AT106" s="1"/>
      <c r="AU106" s="1"/>
      <c r="AV106" s="1"/>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c r="CW106" s="5"/>
      <c r="CX106" s="5"/>
      <c r="CY106" s="5"/>
      <c r="CZ106" s="5"/>
      <c r="DA106" s="5"/>
      <c r="DB106" s="5"/>
      <c r="DC106" s="5"/>
      <c r="DD106" s="5"/>
      <c r="DE106" s="5"/>
      <c r="DF106" s="5"/>
      <c r="DG106" s="5"/>
      <c r="DH106" s="5"/>
      <c r="DI106" s="5"/>
      <c r="DJ106" s="5"/>
    </row>
    <row r="107" spans="1:114" x14ac:dyDescent="0.25">
      <c r="A107" s="5"/>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4"/>
      <c r="AG107" s="4"/>
      <c r="AH107" s="4"/>
      <c r="AI107" s="4"/>
      <c r="AJ107" s="4"/>
      <c r="AK107" s="4"/>
      <c r="AL107" s="4"/>
      <c r="AM107" s="1"/>
      <c r="AN107" s="1"/>
      <c r="AO107" s="1"/>
      <c r="AP107" s="1"/>
      <c r="AQ107" s="1"/>
      <c r="AR107" s="1"/>
      <c r="AS107" s="1"/>
      <c r="AT107" s="1"/>
      <c r="AU107" s="1"/>
      <c r="AV107" s="1"/>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c r="CW107" s="5"/>
      <c r="CX107" s="5"/>
      <c r="CY107" s="5"/>
      <c r="CZ107" s="5"/>
      <c r="DA107" s="5"/>
      <c r="DB107" s="5"/>
      <c r="DC107" s="5"/>
      <c r="DD107" s="5"/>
      <c r="DE107" s="5"/>
      <c r="DF107" s="5"/>
      <c r="DG107" s="5"/>
      <c r="DH107" s="5"/>
      <c r="DI107" s="5"/>
      <c r="DJ107" s="5"/>
    </row>
    <row r="108" spans="1:114" x14ac:dyDescent="0.25">
      <c r="A108" s="5"/>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4"/>
      <c r="AG108" s="4"/>
      <c r="AH108" s="4"/>
      <c r="AI108" s="4"/>
      <c r="AJ108" s="4"/>
      <c r="AK108" s="4"/>
      <c r="AL108" s="4"/>
      <c r="AM108" s="1"/>
      <c r="AN108" s="1"/>
      <c r="AO108" s="1"/>
      <c r="AP108" s="1"/>
      <c r="AQ108" s="1"/>
      <c r="AR108" s="1"/>
      <c r="AS108" s="1"/>
      <c r="AT108" s="1"/>
      <c r="AU108" s="1"/>
      <c r="AV108" s="1"/>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c r="CW108" s="5"/>
      <c r="CX108" s="5"/>
      <c r="CY108" s="5"/>
      <c r="CZ108" s="5"/>
      <c r="DA108" s="5"/>
      <c r="DB108" s="5"/>
      <c r="DC108" s="5"/>
      <c r="DD108" s="5"/>
      <c r="DE108" s="5"/>
      <c r="DF108" s="5"/>
      <c r="DG108" s="5"/>
      <c r="DH108" s="5"/>
      <c r="DI108" s="5"/>
      <c r="DJ108" s="5"/>
    </row>
    <row r="109" spans="1:114" x14ac:dyDescent="0.25">
      <c r="A109" s="5"/>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4"/>
      <c r="AG109" s="4"/>
      <c r="AH109" s="4"/>
      <c r="AI109" s="4"/>
      <c r="AJ109" s="4"/>
      <c r="AK109" s="4"/>
      <c r="AL109" s="4"/>
      <c r="AM109" s="1"/>
      <c r="AN109" s="1"/>
      <c r="AO109" s="1"/>
      <c r="AP109" s="1"/>
      <c r="AQ109" s="1"/>
      <c r="AR109" s="1"/>
      <c r="AS109" s="1"/>
      <c r="AT109" s="1"/>
      <c r="AU109" s="1"/>
      <c r="AV109" s="1"/>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c r="CW109" s="5"/>
      <c r="CX109" s="5"/>
      <c r="CY109" s="5"/>
      <c r="CZ109" s="5"/>
      <c r="DA109" s="5"/>
      <c r="DB109" s="5"/>
      <c r="DC109" s="5"/>
      <c r="DD109" s="5"/>
      <c r="DE109" s="5"/>
      <c r="DF109" s="5"/>
      <c r="DG109" s="5"/>
      <c r="DH109" s="5"/>
      <c r="DI109" s="5"/>
      <c r="DJ109" s="5"/>
    </row>
    <row r="110" spans="1:114" x14ac:dyDescent="0.25">
      <c r="A110" s="5"/>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4"/>
      <c r="AG110" s="4"/>
      <c r="AH110" s="4"/>
      <c r="AI110" s="4"/>
      <c r="AJ110" s="4"/>
      <c r="AK110" s="4"/>
      <c r="AL110" s="4"/>
      <c r="AM110" s="1"/>
      <c r="AN110" s="1"/>
      <c r="AO110" s="1"/>
      <c r="AP110" s="1"/>
      <c r="AQ110" s="1"/>
      <c r="AR110" s="1"/>
      <c r="AS110" s="1"/>
      <c r="AT110" s="1"/>
      <c r="AU110" s="1"/>
      <c r="AV110" s="1"/>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c r="CW110" s="5"/>
      <c r="CX110" s="5"/>
      <c r="CY110" s="5"/>
      <c r="CZ110" s="5"/>
      <c r="DA110" s="5"/>
      <c r="DB110" s="5"/>
      <c r="DC110" s="5"/>
      <c r="DD110" s="5"/>
      <c r="DE110" s="5"/>
      <c r="DF110" s="5"/>
      <c r="DG110" s="5"/>
      <c r="DH110" s="5"/>
      <c r="DI110" s="5"/>
      <c r="DJ110" s="5"/>
    </row>
    <row r="111" spans="1:114" x14ac:dyDescent="0.25">
      <c r="A111" s="5"/>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4"/>
      <c r="AG111" s="4"/>
      <c r="AH111" s="4"/>
      <c r="AI111" s="4"/>
      <c r="AJ111" s="4"/>
      <c r="AK111" s="4"/>
      <c r="AL111" s="4"/>
      <c r="AM111" s="1"/>
      <c r="AN111" s="1"/>
      <c r="AO111" s="1"/>
      <c r="AP111" s="1"/>
      <c r="AQ111" s="1"/>
      <c r="AR111" s="1"/>
      <c r="AS111" s="1"/>
      <c r="AT111" s="1"/>
      <c r="AU111" s="1"/>
      <c r="AV111" s="1"/>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c r="CW111" s="5"/>
      <c r="CX111" s="5"/>
      <c r="CY111" s="5"/>
      <c r="CZ111" s="5"/>
      <c r="DA111" s="5"/>
      <c r="DB111" s="5"/>
      <c r="DC111" s="5"/>
      <c r="DD111" s="5"/>
      <c r="DE111" s="5"/>
      <c r="DF111" s="5"/>
      <c r="DG111" s="5"/>
      <c r="DH111" s="5"/>
      <c r="DI111" s="5"/>
      <c r="DJ111" s="5"/>
    </row>
    <row r="112" spans="1:114" x14ac:dyDescent="0.25">
      <c r="A112" s="5"/>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4"/>
      <c r="AG112" s="4"/>
      <c r="AH112" s="4"/>
      <c r="AI112" s="4"/>
      <c r="AJ112" s="4"/>
      <c r="AK112" s="4"/>
      <c r="AL112" s="4"/>
      <c r="AM112" s="1"/>
      <c r="AN112" s="1"/>
      <c r="AO112" s="1"/>
      <c r="AP112" s="1"/>
      <c r="AQ112" s="1"/>
      <c r="AR112" s="1"/>
      <c r="AS112" s="1"/>
      <c r="AT112" s="1"/>
      <c r="AU112" s="1"/>
      <c r="AV112" s="1"/>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c r="CW112" s="5"/>
      <c r="CX112" s="5"/>
      <c r="CY112" s="5"/>
      <c r="CZ112" s="5"/>
      <c r="DA112" s="5"/>
      <c r="DB112" s="5"/>
      <c r="DC112" s="5"/>
      <c r="DD112" s="5"/>
      <c r="DE112" s="5"/>
      <c r="DF112" s="5"/>
      <c r="DG112" s="5"/>
      <c r="DH112" s="5"/>
      <c r="DI112" s="5"/>
      <c r="DJ112" s="5"/>
    </row>
    <row r="113" spans="1:114" x14ac:dyDescent="0.25">
      <c r="A113" s="5"/>
      <c r="B113" s="5"/>
      <c r="C113" s="5"/>
      <c r="D113" s="1"/>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8"/>
      <c r="AG113" s="8"/>
      <c r="AH113" s="4"/>
      <c r="AI113" s="4"/>
      <c r="AJ113" s="8"/>
      <c r="AK113" s="8"/>
      <c r="AL113" s="8"/>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c r="CW113" s="5"/>
      <c r="CX113" s="5"/>
      <c r="CY113" s="5"/>
      <c r="CZ113" s="5"/>
      <c r="DA113" s="5"/>
      <c r="DB113" s="5"/>
      <c r="DC113" s="5"/>
      <c r="DD113" s="5"/>
      <c r="DE113" s="5"/>
      <c r="DF113" s="5"/>
      <c r="DG113" s="5"/>
      <c r="DH113" s="5"/>
      <c r="DI113" s="5"/>
      <c r="DJ113" s="5"/>
    </row>
    <row r="114" spans="1:114" x14ac:dyDescent="0.25">
      <c r="A114" s="5"/>
      <c r="B114" s="5"/>
      <c r="C114" s="5"/>
      <c r="D114" s="1"/>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8"/>
      <c r="AG114" s="8"/>
      <c r="AH114" s="4"/>
      <c r="AI114" s="4"/>
      <c r="AJ114" s="8"/>
      <c r="AK114" s="8"/>
      <c r="AL114" s="8"/>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c r="CW114" s="5"/>
      <c r="CX114" s="5"/>
      <c r="CY114" s="5"/>
      <c r="CZ114" s="5"/>
      <c r="DA114" s="5"/>
      <c r="DB114" s="5"/>
      <c r="DC114" s="5"/>
      <c r="DD114" s="5"/>
      <c r="DE114" s="5"/>
      <c r="DF114" s="5"/>
      <c r="DG114" s="5"/>
      <c r="DH114" s="5"/>
      <c r="DI114" s="5"/>
      <c r="DJ114" s="5"/>
    </row>
    <row r="115" spans="1:114" x14ac:dyDescent="0.25">
      <c r="A115" s="5"/>
      <c r="B115" s="5"/>
      <c r="C115" s="5"/>
      <c r="D115" s="1"/>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8"/>
      <c r="AG115" s="8"/>
      <c r="AH115" s="4"/>
      <c r="AI115" s="4"/>
      <c r="AJ115" s="8"/>
      <c r="AK115" s="8"/>
      <c r="AL115" s="8"/>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c r="CW115" s="5"/>
      <c r="CX115" s="5"/>
      <c r="CY115" s="5"/>
      <c r="CZ115" s="5"/>
      <c r="DA115" s="5"/>
      <c r="DB115" s="5"/>
      <c r="DC115" s="5"/>
      <c r="DD115" s="5"/>
      <c r="DE115" s="5"/>
      <c r="DF115" s="5"/>
      <c r="DG115" s="5"/>
      <c r="DH115" s="5"/>
      <c r="DI115" s="5"/>
      <c r="DJ115" s="5"/>
    </row>
    <row r="116" spans="1:114" x14ac:dyDescent="0.25">
      <c r="A116" s="5"/>
      <c r="B116" s="5"/>
      <c r="C116" s="5"/>
      <c r="D116" s="1"/>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8"/>
      <c r="AG116" s="8"/>
      <c r="AH116" s="4"/>
      <c r="AI116" s="4"/>
      <c r="AJ116" s="8"/>
      <c r="AK116" s="8"/>
      <c r="AL116" s="8"/>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c r="DF116" s="5"/>
      <c r="DG116" s="5"/>
      <c r="DH116" s="5"/>
      <c r="DI116" s="5"/>
      <c r="DJ116" s="5"/>
    </row>
    <row r="117" spans="1:114" x14ac:dyDescent="0.25">
      <c r="A117" s="5"/>
      <c r="B117" s="5"/>
      <c r="C117" s="5"/>
      <c r="D117" s="1"/>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8"/>
      <c r="AG117" s="8"/>
      <c r="AH117" s="4"/>
      <c r="AI117" s="4"/>
      <c r="AJ117" s="8"/>
      <c r="AK117" s="8"/>
      <c r="AL117" s="8"/>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c r="CW117" s="5"/>
      <c r="CX117" s="5"/>
      <c r="CY117" s="5"/>
      <c r="CZ117" s="5"/>
      <c r="DA117" s="5"/>
      <c r="DB117" s="5"/>
      <c r="DC117" s="5"/>
      <c r="DD117" s="5"/>
      <c r="DE117" s="5"/>
      <c r="DF117" s="5"/>
      <c r="DG117" s="5"/>
      <c r="DH117" s="5"/>
      <c r="DI117" s="5"/>
      <c r="DJ117" s="5"/>
    </row>
    <row r="118" spans="1:114" x14ac:dyDescent="0.25">
      <c r="A118" s="5"/>
      <c r="B118" s="5"/>
      <c r="C118" s="5"/>
      <c r="D118" s="1"/>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8"/>
      <c r="AG118" s="8"/>
      <c r="AH118" s="4"/>
      <c r="AI118" s="4"/>
      <c r="AJ118" s="8"/>
      <c r="AK118" s="8"/>
      <c r="AL118" s="8"/>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c r="CW118" s="5"/>
      <c r="CX118" s="5"/>
      <c r="CY118" s="5"/>
      <c r="CZ118" s="5"/>
      <c r="DA118" s="5"/>
      <c r="DB118" s="5"/>
      <c r="DC118" s="5"/>
      <c r="DD118" s="5"/>
      <c r="DE118" s="5"/>
      <c r="DF118" s="5"/>
      <c r="DG118" s="5"/>
      <c r="DH118" s="5"/>
      <c r="DI118" s="5"/>
      <c r="DJ118" s="5"/>
    </row>
    <row r="119" spans="1:114" x14ac:dyDescent="0.25">
      <c r="A119" s="5"/>
      <c r="B119" s="5"/>
      <c r="C119" s="5"/>
      <c r="D119" s="1"/>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4"/>
      <c r="AI119" s="4"/>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c r="CW119" s="5"/>
      <c r="CX119" s="5"/>
      <c r="CY119" s="5"/>
      <c r="CZ119" s="5"/>
      <c r="DA119" s="5"/>
      <c r="DB119" s="5"/>
      <c r="DC119" s="5"/>
      <c r="DD119" s="5"/>
      <c r="DE119" s="5"/>
      <c r="DF119" s="5"/>
      <c r="DG119" s="5"/>
      <c r="DH119" s="5"/>
      <c r="DI119" s="5"/>
      <c r="DJ119" s="5"/>
    </row>
    <row r="120" spans="1:114" x14ac:dyDescent="0.25">
      <c r="A120" s="5"/>
      <c r="B120" s="5"/>
      <c r="C120" s="5"/>
      <c r="D120" s="1"/>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4"/>
      <c r="AI120" s="4"/>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c r="CW120" s="5"/>
      <c r="CX120" s="5"/>
      <c r="CY120" s="5"/>
      <c r="CZ120" s="5"/>
      <c r="DA120" s="5"/>
      <c r="DB120" s="5"/>
      <c r="DC120" s="5"/>
      <c r="DD120" s="5"/>
      <c r="DE120" s="5"/>
      <c r="DF120" s="5"/>
      <c r="DG120" s="5"/>
      <c r="DH120" s="5"/>
      <c r="DI120" s="5"/>
      <c r="DJ120" s="5"/>
    </row>
    <row r="121" spans="1:114"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8"/>
      <c r="AI121" s="8"/>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c r="CW121" s="5"/>
      <c r="CX121" s="5"/>
      <c r="CY121" s="5"/>
      <c r="CZ121" s="5"/>
      <c r="DA121" s="5"/>
      <c r="DB121" s="5"/>
      <c r="DC121" s="5"/>
      <c r="DD121" s="5"/>
      <c r="DE121" s="5"/>
      <c r="DF121" s="5"/>
      <c r="DG121" s="5"/>
      <c r="DH121" s="5"/>
      <c r="DI121" s="5"/>
      <c r="DJ121" s="5"/>
    </row>
    <row r="122" spans="1:114"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8"/>
      <c r="AI122" s="8"/>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c r="CW122" s="5"/>
      <c r="CX122" s="5"/>
      <c r="CY122" s="5"/>
      <c r="CZ122" s="5"/>
      <c r="DA122" s="5"/>
      <c r="DB122" s="5"/>
      <c r="DC122" s="5"/>
      <c r="DD122" s="5"/>
      <c r="DE122" s="5"/>
      <c r="DF122" s="5"/>
      <c r="DG122" s="5"/>
      <c r="DH122" s="5"/>
      <c r="DI122" s="5"/>
      <c r="DJ122" s="5"/>
    </row>
    <row r="123" spans="1:114"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8"/>
      <c r="AI123" s="8"/>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c r="DI123" s="5"/>
      <c r="DJ123" s="5"/>
    </row>
    <row r="124" spans="1:114"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8"/>
      <c r="AI124" s="8"/>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c r="CW124" s="5"/>
      <c r="CX124" s="5"/>
      <c r="CY124" s="5"/>
      <c r="CZ124" s="5"/>
      <c r="DA124" s="5"/>
      <c r="DB124" s="5"/>
      <c r="DC124" s="5"/>
      <c r="DD124" s="5"/>
      <c r="DE124" s="5"/>
      <c r="DF124" s="5"/>
      <c r="DG124" s="5"/>
      <c r="DH124" s="5"/>
      <c r="DI124" s="5"/>
      <c r="DJ124" s="5"/>
    </row>
    <row r="125" spans="1:114" x14ac:dyDescent="0.25">
      <c r="D125" s="5"/>
      <c r="AH125" s="8"/>
      <c r="AI125" s="8"/>
    </row>
    <row r="126" spans="1:114" x14ac:dyDescent="0.25">
      <c r="D126" s="5"/>
      <c r="AH126" s="8"/>
      <c r="AI126" s="8"/>
    </row>
    <row r="127" spans="1:114" x14ac:dyDescent="0.25">
      <c r="D127" s="5"/>
      <c r="AH127" s="5"/>
      <c r="AI127" s="5"/>
    </row>
    <row r="128" spans="1:114" x14ac:dyDescent="0.25">
      <c r="D128" s="5"/>
      <c r="AH128" s="5"/>
      <c r="AI128" s="5"/>
    </row>
    <row r="129" spans="4:35" x14ac:dyDescent="0.25">
      <c r="D129" s="5"/>
      <c r="AH129" s="5"/>
      <c r="AI129" s="5"/>
    </row>
    <row r="130" spans="4:35" x14ac:dyDescent="0.25">
      <c r="D130" s="5"/>
      <c r="AH130" s="5"/>
      <c r="AI130" s="5"/>
    </row>
    <row r="131" spans="4:35" x14ac:dyDescent="0.25">
      <c r="D131" s="5"/>
      <c r="AH131" s="5"/>
      <c r="AI131" s="5"/>
    </row>
    <row r="132" spans="4:35" x14ac:dyDescent="0.25">
      <c r="D132" s="5"/>
      <c r="AH132" s="5"/>
      <c r="AI132" s="5"/>
    </row>
  </sheetData>
  <mergeCells count="10">
    <mergeCell ref="L16:N16"/>
    <mergeCell ref="A1:AG1"/>
    <mergeCell ref="B2:F3"/>
    <mergeCell ref="H2:V2"/>
    <mergeCell ref="W2:AA3"/>
    <mergeCell ref="AB2:AD3"/>
    <mergeCell ref="H3:K3"/>
    <mergeCell ref="O3:V3"/>
    <mergeCell ref="AE2:AI3"/>
    <mergeCell ref="L3:N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499984740745262"/>
  </sheetPr>
  <dimension ref="A1:DJ132"/>
  <sheetViews>
    <sheetView showGridLines="0" topLeftCell="A13" workbookViewId="0">
      <selection activeCell="M7" sqref="M7:M15"/>
    </sheetView>
  </sheetViews>
  <sheetFormatPr defaultColWidth="11.42578125" defaultRowHeight="15" x14ac:dyDescent="0.25"/>
  <cols>
    <col min="1" max="1" width="7.140625" style="13" customWidth="1"/>
    <col min="2" max="4" width="14.140625" style="13" customWidth="1"/>
    <col min="5" max="7" width="15.5703125" style="13" customWidth="1"/>
    <col min="8" max="11" width="13" style="13" customWidth="1"/>
    <col min="12" max="12" width="15.7109375" style="13" customWidth="1"/>
    <col min="13" max="14" width="16.85546875" style="13" customWidth="1"/>
    <col min="15" max="16" width="16.28515625" style="13" customWidth="1"/>
    <col min="17" max="18" width="15.5703125" style="13" customWidth="1"/>
    <col min="19" max="19" width="23.7109375" style="13" hidden="1" customWidth="1"/>
    <col min="20" max="20" width="13.85546875" style="13" customWidth="1"/>
    <col min="21" max="21" width="19.5703125" style="13" customWidth="1"/>
    <col min="22" max="22" width="18.85546875" style="13" customWidth="1"/>
    <col min="23" max="23" width="16.5703125" style="13" customWidth="1"/>
    <col min="24" max="24" width="19.140625" style="13" customWidth="1"/>
    <col min="25" max="25" width="15.5703125" style="13" customWidth="1"/>
    <col min="26" max="26" width="13.85546875" style="13" customWidth="1"/>
    <col min="27" max="27" width="13" style="13" customWidth="1"/>
    <col min="28" max="28" width="13.140625" style="13" customWidth="1"/>
    <col min="29" max="29" width="16.5703125" style="13" customWidth="1"/>
    <col min="30" max="30" width="13.140625" style="13" customWidth="1"/>
    <col min="31" max="31" width="8.28515625" style="13" customWidth="1"/>
    <col min="32" max="32" width="11.42578125" style="13"/>
    <col min="33" max="33" width="15.7109375" style="13" bestFit="1" customWidth="1"/>
    <col min="34" max="34" width="17.140625" style="13" customWidth="1"/>
    <col min="35" max="35" width="17.5703125" style="13" customWidth="1"/>
    <col min="36" max="16384" width="11.42578125" style="13"/>
  </cols>
  <sheetData>
    <row r="1" spans="1:114" ht="36.75" customHeight="1" x14ac:dyDescent="0.25">
      <c r="A1" s="184" t="s">
        <v>305</v>
      </c>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07"/>
      <c r="AI1" s="107"/>
    </row>
    <row r="2" spans="1:114" ht="14.45" customHeight="1" x14ac:dyDescent="0.25">
      <c r="A2" s="16" t="s">
        <v>25</v>
      </c>
      <c r="B2" s="168" t="s">
        <v>68</v>
      </c>
      <c r="C2" s="169"/>
      <c r="D2" s="169"/>
      <c r="E2" s="169"/>
      <c r="F2" s="170"/>
      <c r="G2" s="72"/>
      <c r="H2" s="165" t="s">
        <v>116</v>
      </c>
      <c r="I2" s="166"/>
      <c r="J2" s="166"/>
      <c r="K2" s="166"/>
      <c r="L2" s="166"/>
      <c r="M2" s="166"/>
      <c r="N2" s="166"/>
      <c r="O2" s="166"/>
      <c r="P2" s="166"/>
      <c r="Q2" s="166"/>
      <c r="R2" s="166"/>
      <c r="S2" s="166"/>
      <c r="T2" s="166"/>
      <c r="U2" s="166"/>
      <c r="V2" s="166"/>
      <c r="W2" s="179" t="s">
        <v>39</v>
      </c>
      <c r="X2" s="179"/>
      <c r="Y2" s="179"/>
      <c r="Z2" s="179"/>
      <c r="AA2" s="179"/>
      <c r="AB2" s="186" t="s">
        <v>79</v>
      </c>
      <c r="AC2" s="186"/>
      <c r="AD2" s="187"/>
      <c r="AE2" s="174" t="s">
        <v>40</v>
      </c>
      <c r="AF2" s="175"/>
      <c r="AG2" s="175"/>
      <c r="AH2" s="106"/>
      <c r="AI2" s="106"/>
    </row>
    <row r="3" spans="1:114" s="37" customFormat="1" ht="35.25" customHeight="1" x14ac:dyDescent="0.25">
      <c r="A3" s="36"/>
      <c r="B3" s="171"/>
      <c r="C3" s="172"/>
      <c r="D3" s="172"/>
      <c r="E3" s="172"/>
      <c r="F3" s="173"/>
      <c r="G3" s="73"/>
      <c r="H3" s="162" t="s">
        <v>94</v>
      </c>
      <c r="I3" s="163"/>
      <c r="J3" s="163"/>
      <c r="K3" s="163"/>
      <c r="L3" s="190" t="s">
        <v>107</v>
      </c>
      <c r="M3" s="191"/>
      <c r="N3" s="192"/>
      <c r="O3" s="190" t="s">
        <v>99</v>
      </c>
      <c r="P3" s="191"/>
      <c r="Q3" s="191"/>
      <c r="R3" s="191"/>
      <c r="S3" s="191"/>
      <c r="T3" s="191"/>
      <c r="U3" s="191"/>
      <c r="V3" s="191"/>
      <c r="W3" s="181"/>
      <c r="X3" s="181"/>
      <c r="Y3" s="181"/>
      <c r="Z3" s="181"/>
      <c r="AA3" s="181"/>
      <c r="AB3" s="188"/>
      <c r="AC3" s="188"/>
      <c r="AD3" s="189"/>
      <c r="AE3" s="176"/>
      <c r="AF3" s="177"/>
      <c r="AG3" s="177"/>
      <c r="AH3" s="106"/>
      <c r="AI3" s="106"/>
    </row>
    <row r="4" spans="1:114" s="9" customFormat="1" ht="67.5" x14ac:dyDescent="0.2">
      <c r="A4" s="17" t="s">
        <v>43</v>
      </c>
      <c r="B4" s="18" t="s">
        <v>31</v>
      </c>
      <c r="C4" s="18" t="s">
        <v>59</v>
      </c>
      <c r="D4" s="18" t="s">
        <v>31</v>
      </c>
      <c r="E4" s="18" t="s">
        <v>31</v>
      </c>
      <c r="F4" s="18" t="s">
        <v>31</v>
      </c>
      <c r="G4" s="18" t="s">
        <v>250</v>
      </c>
      <c r="H4" s="34" t="s">
        <v>95</v>
      </c>
      <c r="I4" s="34" t="s">
        <v>95</v>
      </c>
      <c r="J4" s="34" t="s">
        <v>95</v>
      </c>
      <c r="K4" s="34" t="s">
        <v>95</v>
      </c>
      <c r="L4" s="34" t="s">
        <v>338</v>
      </c>
      <c r="M4" s="34" t="s">
        <v>338</v>
      </c>
      <c r="N4" s="34" t="s">
        <v>237</v>
      </c>
      <c r="O4" s="34" t="s">
        <v>322</v>
      </c>
      <c r="P4" s="34" t="s">
        <v>238</v>
      </c>
      <c r="Q4" s="34" t="s">
        <v>100</v>
      </c>
      <c r="R4" s="34" t="s">
        <v>100</v>
      </c>
      <c r="S4" s="34" t="s">
        <v>215</v>
      </c>
      <c r="T4" s="34" t="s">
        <v>138</v>
      </c>
      <c r="U4" s="34" t="s">
        <v>122</v>
      </c>
      <c r="V4" s="34" t="s">
        <v>122</v>
      </c>
      <c r="W4" s="19" t="s">
        <v>216</v>
      </c>
      <c r="X4" s="19" t="s">
        <v>130</v>
      </c>
      <c r="Y4" s="19" t="s">
        <v>31</v>
      </c>
      <c r="Z4" s="19" t="s">
        <v>49</v>
      </c>
      <c r="AA4" s="19" t="s">
        <v>48</v>
      </c>
      <c r="AB4" s="29" t="s">
        <v>233</v>
      </c>
      <c r="AC4" s="29" t="s">
        <v>233</v>
      </c>
      <c r="AD4" s="29" t="s">
        <v>233</v>
      </c>
      <c r="AE4" s="26" t="s">
        <v>19</v>
      </c>
      <c r="AF4" s="26" t="s">
        <v>4</v>
      </c>
      <c r="AG4" s="26" t="s">
        <v>4</v>
      </c>
      <c r="AH4" s="26" t="s">
        <v>234</v>
      </c>
      <c r="AI4" s="26" t="s">
        <v>232</v>
      </c>
    </row>
    <row r="5" spans="1:114" s="12" customFormat="1" ht="63.75" x14ac:dyDescent="0.25">
      <c r="A5" s="10" t="s">
        <v>0</v>
      </c>
      <c r="B5" s="11" t="s">
        <v>50</v>
      </c>
      <c r="C5" s="11" t="s">
        <v>11</v>
      </c>
      <c r="D5" s="11" t="s">
        <v>133</v>
      </c>
      <c r="E5" s="11" t="s">
        <v>60</v>
      </c>
      <c r="F5" s="11" t="s">
        <v>61</v>
      </c>
      <c r="G5" s="11" t="s">
        <v>251</v>
      </c>
      <c r="H5" s="11" t="s">
        <v>96</v>
      </c>
      <c r="I5" s="11" t="s">
        <v>97</v>
      </c>
      <c r="J5" s="11" t="s">
        <v>98</v>
      </c>
      <c r="K5" s="11" t="s">
        <v>101</v>
      </c>
      <c r="L5" s="11" t="s">
        <v>327</v>
      </c>
      <c r="M5" s="11" t="s">
        <v>328</v>
      </c>
      <c r="N5" s="109" t="s">
        <v>236</v>
      </c>
      <c r="O5" s="11" t="s">
        <v>240</v>
      </c>
      <c r="P5" s="11" t="s">
        <v>239</v>
      </c>
      <c r="Q5" s="11" t="s">
        <v>104</v>
      </c>
      <c r="R5" s="11" t="s">
        <v>212</v>
      </c>
      <c r="S5" s="11" t="s">
        <v>214</v>
      </c>
      <c r="T5" s="11" t="s">
        <v>126</v>
      </c>
      <c r="U5" s="11" t="s">
        <v>125</v>
      </c>
      <c r="V5" s="11" t="s">
        <v>137</v>
      </c>
      <c r="W5" s="11" t="s">
        <v>136</v>
      </c>
      <c r="X5" s="11" t="s">
        <v>217</v>
      </c>
      <c r="Y5" s="11" t="s">
        <v>88</v>
      </c>
      <c r="Z5" s="11" t="s">
        <v>14</v>
      </c>
      <c r="AA5" s="11" t="s">
        <v>15</v>
      </c>
      <c r="AB5" s="11" t="s">
        <v>45</v>
      </c>
      <c r="AC5" s="11" t="s">
        <v>82</v>
      </c>
      <c r="AD5" s="11" t="s">
        <v>83</v>
      </c>
      <c r="AE5" s="11" t="s">
        <v>26</v>
      </c>
      <c r="AF5" s="11" t="s">
        <v>16</v>
      </c>
      <c r="AG5" s="11" t="s">
        <v>17</v>
      </c>
      <c r="AH5" s="11" t="s">
        <v>227</v>
      </c>
      <c r="AI5" s="11" t="s">
        <v>141</v>
      </c>
    </row>
    <row r="6" spans="1:114" s="12" customFormat="1" ht="12.75" x14ac:dyDescent="0.25">
      <c r="A6" s="10" t="s">
        <v>9</v>
      </c>
      <c r="B6" s="11" t="s">
        <v>51</v>
      </c>
      <c r="C6" s="11" t="s">
        <v>10</v>
      </c>
      <c r="D6" s="11" t="s">
        <v>134</v>
      </c>
      <c r="E6" s="11" t="s">
        <v>33</v>
      </c>
      <c r="F6" s="11" t="s">
        <v>30</v>
      </c>
      <c r="G6" s="11" t="s">
        <v>129</v>
      </c>
      <c r="H6" s="11" t="s">
        <v>84</v>
      </c>
      <c r="I6" s="11" t="s">
        <v>85</v>
      </c>
      <c r="J6" s="11" t="s">
        <v>86</v>
      </c>
      <c r="K6" s="11" t="s">
        <v>106</v>
      </c>
      <c r="L6" s="11" t="s">
        <v>89</v>
      </c>
      <c r="M6" s="11" t="s">
        <v>90</v>
      </c>
      <c r="N6" s="11" t="s">
        <v>235</v>
      </c>
      <c r="O6" s="11" t="s">
        <v>121</v>
      </c>
      <c r="P6" s="11" t="s">
        <v>121</v>
      </c>
      <c r="Q6" s="11" t="s">
        <v>105</v>
      </c>
      <c r="R6" s="11" t="s">
        <v>213</v>
      </c>
      <c r="S6" s="11" t="s">
        <v>115</v>
      </c>
      <c r="T6" s="11" t="s">
        <v>127</v>
      </c>
      <c r="U6" s="11" t="s">
        <v>87</v>
      </c>
      <c r="V6" s="11" t="s">
        <v>119</v>
      </c>
      <c r="W6" s="11" t="s">
        <v>128</v>
      </c>
      <c r="X6" s="11" t="s">
        <v>62</v>
      </c>
      <c r="Y6" s="11" t="s">
        <v>24</v>
      </c>
      <c r="Z6" s="11" t="s">
        <v>135</v>
      </c>
      <c r="AA6" s="11" t="s">
        <v>23</v>
      </c>
      <c r="AB6" s="11" t="s">
        <v>44</v>
      </c>
      <c r="AC6" s="11" t="s">
        <v>47</v>
      </c>
      <c r="AD6" s="11" t="s">
        <v>13</v>
      </c>
      <c r="AE6" s="11" t="s">
        <v>18</v>
      </c>
      <c r="AF6" s="11" t="s">
        <v>20</v>
      </c>
      <c r="AG6" s="11" t="s">
        <v>21</v>
      </c>
      <c r="AH6" s="11" t="s">
        <v>228</v>
      </c>
      <c r="AI6" s="11" t="s">
        <v>142</v>
      </c>
    </row>
    <row r="7" spans="1:114" x14ac:dyDescent="0.25">
      <c r="A7" s="22">
        <v>2010</v>
      </c>
      <c r="B7" s="28">
        <f>Parameters!$C$3</f>
        <v>2.3E-2</v>
      </c>
      <c r="C7" s="28">
        <f>Parameters!$C$5</f>
        <v>46.486621</v>
      </c>
      <c r="D7" s="70">
        <f>Parameters!$C$19</f>
        <v>0.1</v>
      </c>
      <c r="E7" s="21">
        <f>Parameters!$C$7</f>
        <v>7.9000000000000001E-2</v>
      </c>
      <c r="F7" s="24">
        <f>Parameters!$C$6</f>
        <v>3.8</v>
      </c>
      <c r="G7" s="116">
        <f>11614/10</f>
        <v>1161.4000000000001</v>
      </c>
      <c r="H7" s="14">
        <f>Parameters!L69</f>
        <v>5558.6066429863486</v>
      </c>
      <c r="I7" s="14">
        <f>Parameters!M69</f>
        <v>30469.385926685154</v>
      </c>
      <c r="J7" s="14">
        <f>Parameters!N69</f>
        <v>47714.248555687293</v>
      </c>
      <c r="K7" s="14">
        <f>Parameters!O69</f>
        <v>166331.50804992829</v>
      </c>
      <c r="L7" s="14">
        <f>'LCOE Sensitivity Analysis'!L81+Parameters!$C$26</f>
        <v>55.392867498220582</v>
      </c>
      <c r="M7" s="14">
        <f>'LCOE Sensitivity Analysis'!M81+Parameters!$C$26</f>
        <v>73.77560210532711</v>
      </c>
      <c r="N7" s="111">
        <f>Parameters!P69</f>
        <v>36027992.569671497</v>
      </c>
      <c r="O7" s="112">
        <f>((((((L7*H7)+(M7*I7))*Parameters!$C$24)/1000000)*N7)/1000000)-BAU!Q7</f>
        <v>1.6895529976181933E-3</v>
      </c>
      <c r="P7" s="112">
        <f>(((L7*Parameters!L69)+(M7*Parameters!M69))*Parameters!$C$24)/1000000</f>
        <v>2.4078233758971401</v>
      </c>
      <c r="Q7" s="39">
        <f>(H7+I7)/Parameters!B39</f>
        <v>0.12076961842877279</v>
      </c>
      <c r="R7" s="39">
        <f>Parameters!O69/Parameters!B69</f>
        <v>0.55756070008691438</v>
      </c>
      <c r="S7" s="74">
        <f>(IF(Q7-BAU!N7 &lt; 0, 0, Q7-BAU!N7))+(IF(BAU!O7-R7 &lt; 0,  0, BAU!O7-R7))</f>
        <v>9.1364778184999107E-6</v>
      </c>
      <c r="T7" s="39">
        <f>S7</f>
        <v>9.1364778184999107E-6</v>
      </c>
      <c r="U7" s="32">
        <f>Parameters!$C$30</f>
        <v>0.06</v>
      </c>
      <c r="V7" s="75">
        <f>U7*(T7^Parameters!$C$31)</f>
        <v>4.6594204568491237E-16</v>
      </c>
      <c r="W7" s="21">
        <f>R7</f>
        <v>0.55756070008691438</v>
      </c>
      <c r="X7" s="21">
        <f t="shared" ref="X7:X15" si="0">(1-T7)*W7*G7</f>
        <v>647.54508074562125</v>
      </c>
      <c r="Y7" s="20">
        <f>Parameters!$C$11</f>
        <v>530</v>
      </c>
      <c r="Z7" s="23">
        <f>Y7*Parameters!$C$13</f>
        <v>0.95399999999999996</v>
      </c>
      <c r="AA7" s="32">
        <f>1/(1+((Z7/20.46)^2)+((Z7/6081)^6754))</f>
        <v>0.99783058667694802</v>
      </c>
      <c r="AB7" s="28">
        <f>((Parameters!$C$18*F7*AA7)/(D7+B7))^(1/(1-Parameters!$C$21))</f>
        <v>8.8483217392581075</v>
      </c>
      <c r="AC7" s="24">
        <f>(1-V7)*AA7*F7*(AB7^Parameters!$C$21)</f>
        <v>9.0695297827395578</v>
      </c>
      <c r="AD7" s="23">
        <f>(1-Parameters!$C$18)*AC7</f>
        <v>7.9811862088108105</v>
      </c>
      <c r="AE7" s="30">
        <f t="shared" ref="AE7:AE15" si="1">LN(AD7)</f>
        <v>2.0770870481353927</v>
      </c>
      <c r="AF7" s="23">
        <f>1/(1+Parameters!$C$22*(A7-$A$7))</f>
        <v>1</v>
      </c>
      <c r="AG7" s="30">
        <f t="shared" ref="AG7:AG15" si="2">C7*AE7*AF7</f>
        <v>96.556758390678752</v>
      </c>
      <c r="AH7" s="30">
        <f>BAU!AF7</f>
        <v>9.1024174870568153</v>
      </c>
      <c r="AI7" s="30">
        <f t="shared" ref="AI7:AI15" si="3">(AC7-AH7)*C7</f>
        <v>-1.5288382461564138</v>
      </c>
      <c r="AJ7" s="4"/>
      <c r="AK7" s="4"/>
      <c r="AL7" s="4"/>
      <c r="AM7" s="1"/>
      <c r="AN7" s="1"/>
      <c r="AO7" s="1"/>
      <c r="AP7" s="1"/>
      <c r="AQ7" s="1"/>
      <c r="AR7" s="1"/>
      <c r="AS7" s="1"/>
      <c r="AT7" s="1"/>
      <c r="AU7" s="1"/>
      <c r="AV7" s="1"/>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row>
    <row r="8" spans="1:114" x14ac:dyDescent="0.25">
      <c r="A8" s="22">
        <v>2015</v>
      </c>
      <c r="B8" s="27">
        <f>B7/(1+Parameters!$C$4)</f>
        <v>2.1863117870722433E-2</v>
      </c>
      <c r="C8" s="28">
        <f t="shared" ref="C8:C15" si="4">C7*(1+B8)</f>
        <v>47.502963474334599</v>
      </c>
      <c r="D8" s="70">
        <f>Parameters!$C$19+(Parameters!$C$20*S8)</f>
        <v>0.10001104967942966</v>
      </c>
      <c r="E8" s="25">
        <f>($E$7/((1+Parameters!$C$8)^(A8-$A$7)))-Parameters!$C$9*Z8</f>
        <v>7.5416166761019962E-2</v>
      </c>
      <c r="F8" s="24">
        <f>F7*(1+E8)</f>
        <v>4.086581433691876</v>
      </c>
      <c r="G8" s="116">
        <v>1221.3</v>
      </c>
      <c r="H8" s="14">
        <f>Parameters!L70</f>
        <v>8436.0111025854276</v>
      </c>
      <c r="I8" s="14">
        <f>Parameters!M70</f>
        <v>43253.149365793666</v>
      </c>
      <c r="J8" s="14">
        <f>Parameters!N70</f>
        <v>37860.280679291864</v>
      </c>
      <c r="K8" s="14">
        <f>Parameters!O70</f>
        <v>141975.67618165538</v>
      </c>
      <c r="L8" s="14">
        <f>'LCOE Sensitivity Analysis'!L82+Parameters!$C$26</f>
        <v>54.305942309716542</v>
      </c>
      <c r="M8" s="14">
        <f>'LCOE Sensitivity Analysis'!M82+Parameters!$C$26</f>
        <v>73.070374361710009</v>
      </c>
      <c r="N8" s="111">
        <f>Parameters!P70</f>
        <v>51689160.468379095</v>
      </c>
      <c r="O8" s="112">
        <f>((((((L8*H8)+(M8*I8))*Parameters!$C$24)/1000000)*N8)/1000000)-BAU!Q8</f>
        <v>9.9908530225937398</v>
      </c>
      <c r="P8" s="112">
        <f>(((L8*Parameters!L70)+(M8*Parameters!M70))*Parameters!$C$24)/1000000</f>
        <v>3.4091295514504374</v>
      </c>
      <c r="Q8" s="39">
        <f>(H8+I8)/Parameters!B40</f>
        <v>0.18537671517626617</v>
      </c>
      <c r="R8" s="39">
        <f>Parameters!O70/Parameters!B70</f>
        <v>0.50917802198751505</v>
      </c>
      <c r="S8" s="74">
        <f>(IF(Q8-BAU!N8 &lt; 0, 0, Q8-BAU!N8))+(IF(BAU!O8-R8 &lt; 0,  0, BAU!O8-R8))</f>
        <v>1.1049679429656012E-2</v>
      </c>
      <c r="T8" s="39">
        <f t="shared" ref="T8:T15" si="5">S8</f>
        <v>1.1049679429656012E-2</v>
      </c>
      <c r="U8" s="32">
        <f t="shared" ref="U8:U15" si="6">U7*(1+(-E8))</f>
        <v>5.5475029994338801E-2</v>
      </c>
      <c r="V8" s="75">
        <f>U8*(T8^Parameters!$C$31)</f>
        <v>1.8427933896542133E-7</v>
      </c>
      <c r="W8" s="21">
        <f t="shared" ref="W8:W15" si="7">R8</f>
        <v>0.50917802198751505</v>
      </c>
      <c r="X8" s="21">
        <f t="shared" si="0"/>
        <v>614.98777434624401</v>
      </c>
      <c r="Y8" s="20">
        <f>Y7+(X8/Parameters!$C$12)</f>
        <v>697.72393845806653</v>
      </c>
      <c r="Z8" s="23">
        <f>Y8*Parameters!$C$13</f>
        <v>1.2559030892245198</v>
      </c>
      <c r="AA8" s="32">
        <f t="shared" ref="AA8:AA15" si="8">1/(1+((Z8/20.46)^2)+((Z8/6081)^6754))</f>
        <v>0.99624622973758714</v>
      </c>
      <c r="AB8" s="28">
        <f>((Parameters!$C$18*F8*AA8)/(D8+B8))^(1/(1-Parameters!$C$21))</f>
        <v>10.115656036354546</v>
      </c>
      <c r="AC8" s="24">
        <f>(1-V8)*AA8*F8*(AB8^Parameters!$C$21)</f>
        <v>10.273641095566376</v>
      </c>
      <c r="AD8" s="23">
        <f>(1-Parameters!$C$18)*AC8</f>
        <v>9.0408041640984109</v>
      </c>
      <c r="AE8" s="30">
        <f t="shared" si="1"/>
        <v>2.201748126653293</v>
      </c>
      <c r="AF8" s="23">
        <f>1/(1+Parameters!$C$22*(A8-$A$7))</f>
        <v>0.93023255813953487</v>
      </c>
      <c r="AG8" s="30">
        <f t="shared" si="2"/>
        <v>97.292614734973029</v>
      </c>
      <c r="AH8" s="30">
        <f>BAU!AF8</f>
        <v>10.358997143018955</v>
      </c>
      <c r="AI8" s="30">
        <f t="shared" si="3"/>
        <v>-4.0546652044534612</v>
      </c>
      <c r="AJ8" s="4"/>
      <c r="AK8" s="4"/>
      <c r="AL8" s="4"/>
      <c r="AM8" s="1"/>
      <c r="AN8" s="1"/>
      <c r="AO8" s="1"/>
      <c r="AP8" s="1"/>
      <c r="AQ8" s="1"/>
      <c r="AR8" s="1"/>
      <c r="AS8" s="1"/>
      <c r="AT8" s="1"/>
      <c r="AU8" s="1"/>
      <c r="AV8" s="1"/>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row>
    <row r="9" spans="1:114" x14ac:dyDescent="0.25">
      <c r="A9" s="22">
        <v>2020</v>
      </c>
      <c r="B9" s="27">
        <f>B8/(1+Parameters!$C$4)</f>
        <v>2.0782431436047938E-2</v>
      </c>
      <c r="C9" s="28">
        <f t="shared" si="4"/>
        <v>48.490190555749045</v>
      </c>
      <c r="D9" s="70">
        <f>Parameters!$C$19+(Parameters!$C$20*S9)</f>
        <v>0.10003761580348877</v>
      </c>
      <c r="E9" s="25">
        <f>($E$7/((1+Parameters!$C$8)^(A9-$A$7)))-Parameters!$C$9*Z9</f>
        <v>7.2918403014137573E-2</v>
      </c>
      <c r="F9" s="24">
        <f>F8*(1+E9)</f>
        <v>4.3845684256239128</v>
      </c>
      <c r="G9" s="116">
        <v>1227.2</v>
      </c>
      <c r="H9" s="14">
        <f>Parameters!L71</f>
        <v>13481.116767680476</v>
      </c>
      <c r="I9" s="14">
        <f>Parameters!M71</f>
        <v>59039.729250460325</v>
      </c>
      <c r="J9" s="14">
        <f>Parameters!N71</f>
        <v>29626.01326424197</v>
      </c>
      <c r="K9" s="14">
        <f>Parameters!O71</f>
        <v>101347.98893821714</v>
      </c>
      <c r="L9" s="14">
        <f>'LCOE Sensitivity Analysis'!L83+Parameters!$C$26</f>
        <v>53.241373075138632</v>
      </c>
      <c r="M9" s="14">
        <f>'LCOE Sensitivity Analysis'!M83+Parameters!$C$26</f>
        <v>72.372129071000003</v>
      </c>
      <c r="N9" s="111">
        <f>Parameters!P71</f>
        <v>72520846.018140808</v>
      </c>
      <c r="O9" s="112">
        <f>((((((L9*H9)+(M9*I9))*Parameters!$C$24)/1000000)*N9)/1000000)-BAU!Q9</f>
        <v>46.837135467957182</v>
      </c>
      <c r="P9" s="112">
        <f>(((L9*Parameters!L71)+(M9*Parameters!M71))*Parameters!$C$24)/1000000</f>
        <v>4.7016292551062158</v>
      </c>
      <c r="Q9" s="39">
        <f>(H9+I9)/Parameters!B41</f>
        <v>0.29427069660535421</v>
      </c>
      <c r="R9" s="39">
        <f>Parameters!O71/Parameters!B71</f>
        <v>0.41124373117407648</v>
      </c>
      <c r="S9" s="74">
        <f>(IF(Q9-BAU!N9 &lt; 0, 0, Q9-BAU!N9))+(IF(BAU!O9-R9 &lt; 0,  0, BAU!O9-R9))</f>
        <v>3.7615803488772914E-2</v>
      </c>
      <c r="T9" s="39">
        <f t="shared" si="5"/>
        <v>3.7615803488772914E-2</v>
      </c>
      <c r="U9" s="32">
        <f t="shared" si="6"/>
        <v>5.1429879399990233E-2</v>
      </c>
      <c r="V9" s="75">
        <f>U9*(T9^Parameters!$C$31)</f>
        <v>5.2753644239574993E-6</v>
      </c>
      <c r="W9" s="21">
        <f t="shared" si="7"/>
        <v>0.41124373117407648</v>
      </c>
      <c r="X9" s="21">
        <f t="shared" si="0"/>
        <v>485.69442687954898</v>
      </c>
      <c r="Y9" s="20">
        <f>Y8+(X9/Parameters!$C$12)</f>
        <v>830.18605487976174</v>
      </c>
      <c r="Z9" s="23">
        <f>Y9*Parameters!$C$13</f>
        <v>1.4943348987835712</v>
      </c>
      <c r="AA9" s="32">
        <f t="shared" si="8"/>
        <v>0.99469391648481842</v>
      </c>
      <c r="AB9" s="28">
        <f>((Parameters!$C$18*F9*AA9)/(D9+B9))^(1/(1-Parameters!$C$21))</f>
        <v>11.510590344591652</v>
      </c>
      <c r="AC9" s="24">
        <f>(1-V9)*AA9*F9*(AB9^Parameters!$C$21)</f>
        <v>11.589189439050795</v>
      </c>
      <c r="AD9" s="23">
        <f>(1-Parameters!$C$18)*AC9</f>
        <v>10.198486706364699</v>
      </c>
      <c r="AE9" s="30">
        <f t="shared" si="1"/>
        <v>2.3222393471623692</v>
      </c>
      <c r="AF9" s="23">
        <f>1/(1+Parameters!$C$22*(A9-$A$7))</f>
        <v>0.86956521739130443</v>
      </c>
      <c r="AG9" s="30">
        <f t="shared" si="2"/>
        <v>97.918111704314398</v>
      </c>
      <c r="AH9" s="30">
        <f>BAU!AF9</f>
        <v>11.74488149448006</v>
      </c>
      <c r="AI9" s="30">
        <f t="shared" si="3"/>
        <v>-7.5495374357812972</v>
      </c>
      <c r="AJ9" s="4"/>
      <c r="AK9" s="4"/>
      <c r="AL9" s="4"/>
      <c r="AM9" s="1"/>
      <c r="AN9" s="1"/>
      <c r="AO9" s="1"/>
      <c r="AP9" s="1"/>
      <c r="AQ9" s="1"/>
      <c r="AR9" s="1"/>
      <c r="AS9" s="1"/>
      <c r="AT9" s="1"/>
      <c r="AU9" s="1"/>
      <c r="AV9" s="1"/>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row>
    <row r="10" spans="1:114" ht="21.6" customHeight="1" x14ac:dyDescent="0.25">
      <c r="A10" s="22">
        <v>2025</v>
      </c>
      <c r="B10" s="27">
        <f>B9/(1+Parameters!$C$4)</f>
        <v>1.9755162962022753E-2</v>
      </c>
      <c r="C10" s="28">
        <f t="shared" si="4"/>
        <v>49.448122172237404</v>
      </c>
      <c r="D10" s="70">
        <f>Parameters!$C$19+(Parameters!$C$20*S10)</f>
        <v>0.10007857830578322</v>
      </c>
      <c r="E10" s="25">
        <f>($E$7/((1+Parameters!$C$8)^(A10-$A$7)))-Parameters!$C$9*Z10</f>
        <v>7.0489631280153064E-2</v>
      </c>
      <c r="F10" s="24">
        <f>F9*(1+E10)</f>
        <v>4.6936350372687432</v>
      </c>
      <c r="G10" s="116">
        <v>1401.8</v>
      </c>
      <c r="H10" s="14">
        <f>Parameters!L72</f>
        <v>21303.250115903225</v>
      </c>
      <c r="I10" s="14">
        <f>Parameters!M72</f>
        <v>79118.809782205542</v>
      </c>
      <c r="J10" s="14">
        <f>Parameters!N72</f>
        <v>25036.543779542226</v>
      </c>
      <c r="K10" s="14">
        <f>Parameters!O72</f>
        <v>104154.83302442712</v>
      </c>
      <c r="L10" s="14">
        <f>'LCOE Sensitivity Analysis'!L84+Parameters!$C$26</f>
        <v>52.198699975649987</v>
      </c>
      <c r="M10" s="14">
        <f>'LCOE Sensitivity Analysis'!M84+Parameters!$C$26</f>
        <v>71.680797100000007</v>
      </c>
      <c r="N10" s="111">
        <f>Parameters!P72</f>
        <v>100422059.89810877</v>
      </c>
      <c r="O10" s="112">
        <f>((((((L10*H10)+(M10*I10))*Parameters!$C$24)/1000000)*N10)/1000000)-BAU!Q10</f>
        <v>154.1651856820979</v>
      </c>
      <c r="P10" s="112">
        <f>(((L10*Parameters!L72)+(M10*Parameters!M72))*Parameters!$C$24)/1000000</f>
        <v>6.3905481661275578</v>
      </c>
      <c r="Q10" s="39">
        <f>(H10+I10)/Parameters!B42</f>
        <v>0.35887786488877149</v>
      </c>
      <c r="R10" s="39">
        <f>Parameters!O72/Parameters!B72</f>
        <v>0.37221765946225988</v>
      </c>
      <c r="S10" s="74">
        <f>(IF(Q10-BAU!N10 &lt; 0, 0, Q10-BAU!N10))+(IF(BAU!O10-R10 &lt; 0,  0, BAU!O10-R10))</f>
        <v>7.857830578322067E-2</v>
      </c>
      <c r="T10" s="39">
        <f t="shared" si="5"/>
        <v>7.857830578322067E-2</v>
      </c>
      <c r="U10" s="32">
        <f t="shared" si="6"/>
        <v>4.7804606164302182E-2</v>
      </c>
      <c r="V10" s="75">
        <f>U10*(T10^Parameters!$C$31)</f>
        <v>3.8576000165591429E-5</v>
      </c>
      <c r="W10" s="21">
        <f t="shared" si="7"/>
        <v>0.37221765946225988</v>
      </c>
      <c r="X10" s="21">
        <f t="shared" si="0"/>
        <v>480.77454192628596</v>
      </c>
      <c r="Y10" s="20">
        <f>Y9+(X10/Parameters!$C$12)</f>
        <v>961.30638449602156</v>
      </c>
      <c r="Z10" s="23">
        <f>Y10*Parameters!$C$13</f>
        <v>1.7303514920928387</v>
      </c>
      <c r="AA10" s="32">
        <f t="shared" si="8"/>
        <v>0.99289830244105248</v>
      </c>
      <c r="AB10" s="28">
        <f>((Parameters!$C$18*F10*AA10)/(D10+B10))^(1/(1-Parameters!$C$21))</f>
        <v>13.032478634962924</v>
      </c>
      <c r="AC10" s="24">
        <f>(1-V10)*AA10*F10*(AB10^Parameters!$C$21)</f>
        <v>13.013920229147191</v>
      </c>
      <c r="AD10" s="23">
        <f>(1-Parameters!$C$18)*AC10</f>
        <v>11.452249801649527</v>
      </c>
      <c r="AE10" s="30">
        <f t="shared" si="1"/>
        <v>2.4381861999258017</v>
      </c>
      <c r="AF10" s="23">
        <f>1/(1+Parameters!$C$22*(A10-$A$7))</f>
        <v>0.81632653061224481</v>
      </c>
      <c r="AG10" s="30">
        <f t="shared" si="2"/>
        <v>98.419370687832071</v>
      </c>
      <c r="AH10" s="30">
        <f>BAU!AF10</f>
        <v>13.267674708883096</v>
      </c>
      <c r="AI10" s="30">
        <f t="shared" si="3"/>
        <v>-12.547682515733573</v>
      </c>
      <c r="AJ10" s="4"/>
      <c r="AK10" s="4"/>
      <c r="AL10" s="4"/>
      <c r="AM10" s="1"/>
      <c r="AN10" s="1"/>
      <c r="AO10" s="1"/>
      <c r="AP10" s="1"/>
      <c r="AQ10" s="1"/>
      <c r="AR10" s="1"/>
      <c r="AS10" s="1"/>
      <c r="AT10" s="1"/>
      <c r="AU10" s="1"/>
      <c r="AV10" s="1"/>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row>
    <row r="11" spans="1:114" x14ac:dyDescent="0.25">
      <c r="A11" s="22">
        <v>2030</v>
      </c>
      <c r="B11" s="27">
        <f>B10/(1+Parameters!$C$4)</f>
        <v>1.8778672017131893E-2</v>
      </c>
      <c r="C11" s="28">
        <f>C10*(1+B11)</f>
        <v>50.376692240372918</v>
      </c>
      <c r="D11" s="70">
        <f>Parameters!$C$19+(Parameters!$C$20*S11)</f>
        <v>0.10013870464319043</v>
      </c>
      <c r="E11" s="25">
        <f>($E$7/((1+Parameters!$C$8)^(A11-$A$7)))-Parameters!$C$9*Z11</f>
        <v>6.8162312606517686E-2</v>
      </c>
      <c r="F11" s="24">
        <f t="shared" ref="F11:F14" si="9">F10*(1+E11)</f>
        <v>5.013564055939959</v>
      </c>
      <c r="G11" s="116">
        <v>1481.4</v>
      </c>
      <c r="H11" s="14">
        <f>Parameters!L73</f>
        <v>33888.293964177836</v>
      </c>
      <c r="I11" s="14">
        <f>Parameters!M73</f>
        <v>101790.50583139574</v>
      </c>
      <c r="J11" s="14">
        <f>Parameters!N73</f>
        <v>15359.257564435306</v>
      </c>
      <c r="K11" s="14">
        <f>Parameters!O73</f>
        <v>94275.325709302866</v>
      </c>
      <c r="L11" s="14">
        <f>'LCOE Sensitivity Analysis'!L85+Parameters!$C$26</f>
        <v>51.177472649999991</v>
      </c>
      <c r="M11" s="14">
        <f>'LCOE Sensitivity Analysis'!M85+Parameters!$C$26</f>
        <v>70.996310000000008</v>
      </c>
      <c r="N11" s="111">
        <f>Parameters!P73</f>
        <v>135678799.79557359</v>
      </c>
      <c r="O11" s="112">
        <f>((((((L11*H11)+(M11*I11))*Parameters!$C$24)/1000000)*N11)/1000000)-BAU!Q11</f>
        <v>401.08211479932538</v>
      </c>
      <c r="P11" s="112">
        <f>(((L11*Parameters!L73)+(M11*Parameters!M73))*Parameters!$C$24)/1000000</f>
        <v>8.4422217337388812</v>
      </c>
      <c r="Q11" s="39">
        <f>(H11+I11)/Parameters!B43</f>
        <v>0.45764723644161881</v>
      </c>
      <c r="R11" s="39">
        <f>Parameters!O73/Parameters!B73</f>
        <v>0.31799251128770317</v>
      </c>
      <c r="S11" s="74">
        <f>(IF(Q11-BAU!N11 &lt; 0, 0, Q11-BAU!N11))+(IF(BAU!O11-R11 &lt; 0,  0, BAU!O11-R11))</f>
        <v>0.13870464319042475</v>
      </c>
      <c r="T11" s="39">
        <f t="shared" si="5"/>
        <v>0.13870464319042475</v>
      </c>
      <c r="U11" s="32">
        <f t="shared" si="6"/>
        <v>4.4546133654899553E-2</v>
      </c>
      <c r="V11" s="75">
        <f>U11*(T11^Parameters!$C$31)</f>
        <v>1.7646753300333882E-4</v>
      </c>
      <c r="W11" s="21">
        <f t="shared" si="7"/>
        <v>0.31799251128770317</v>
      </c>
      <c r="X11" s="21">
        <f t="shared" si="0"/>
        <v>405.73394040188771</v>
      </c>
      <c r="Y11" s="20">
        <f>Y10+(X11/Parameters!$C$12)</f>
        <v>1071.9610955147182</v>
      </c>
      <c r="Z11" s="23">
        <f>Y11*Parameters!$C$13</f>
        <v>1.9295299719264927</v>
      </c>
      <c r="AA11" s="32">
        <f t="shared" si="8"/>
        <v>0.99118451304912836</v>
      </c>
      <c r="AB11" s="28">
        <f>((Parameters!$C$18*F11*AA11)/(D11+B11))^(1/(1-Parameters!$C$21))</f>
        <v>14.691348795895653</v>
      </c>
      <c r="AC11" s="24">
        <f>(1-V11)*AA11*F11*(AB11^Parameters!$C$21)</f>
        <v>14.556236330259747</v>
      </c>
      <c r="AD11" s="23">
        <f>(1-Parameters!$C$18)*AC11</f>
        <v>12.809487970628577</v>
      </c>
      <c r="AE11" s="30">
        <f t="shared" si="1"/>
        <v>2.5501861440425322</v>
      </c>
      <c r="AF11" s="23">
        <f>1/(1+Parameters!$C$22*(A11-$A$7))</f>
        <v>0.76923076923076916</v>
      </c>
      <c r="AG11" s="30">
        <f t="shared" si="2"/>
        <v>98.823032718533824</v>
      </c>
      <c r="AH11" s="30">
        <f>BAU!AF11</f>
        <v>14.934834851616968</v>
      </c>
      <c r="AI11" s="30">
        <f t="shared" si="3"/>
        <v>-19.072541193072961</v>
      </c>
      <c r="AJ11" s="4"/>
      <c r="AK11" s="4"/>
      <c r="AL11" s="4"/>
      <c r="AM11" s="1"/>
      <c r="AN11" s="1"/>
      <c r="AO11" s="1"/>
      <c r="AP11" s="1"/>
      <c r="AQ11" s="1"/>
      <c r="AR11" s="1"/>
      <c r="AS11" s="1"/>
      <c r="AT11" s="1"/>
      <c r="AU11" s="1"/>
      <c r="AV11" s="1"/>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row>
    <row r="12" spans="1:114" x14ac:dyDescent="0.25">
      <c r="A12" s="22">
        <v>2035</v>
      </c>
      <c r="B12" s="27">
        <f>B11/(1+Parameters!$C$4)</f>
        <v>1.7850448685486589E-2</v>
      </c>
      <c r="C12" s="28">
        <f t="shared" si="4"/>
        <v>51.27593880015425</v>
      </c>
      <c r="D12" s="70">
        <f>Parameters!$C$19+(Parameters!$C$20*S12)</f>
        <v>0.10017101868498299</v>
      </c>
      <c r="E12" s="25">
        <f>($E$7/((1+Parameters!$C$8)^(A12-$A$7)))-Parameters!$C$9*Z12</f>
        <v>6.5904811497677351E-2</v>
      </c>
      <c r="F12" s="24">
        <f t="shared" si="9"/>
        <v>5.3439820499782122</v>
      </c>
      <c r="G12" s="116">
        <v>1574.3</v>
      </c>
      <c r="H12" s="14">
        <f>Parameters!L74</f>
        <v>43316.429218002078</v>
      </c>
      <c r="I12" s="14">
        <f>Parameters!M74</f>
        <v>111524.14689355674</v>
      </c>
      <c r="J12" s="14">
        <f>Parameters!N74</f>
        <v>9069.2367722072959</v>
      </c>
      <c r="K12" s="14">
        <f>Parameters!O74</f>
        <v>92207.911574142505</v>
      </c>
      <c r="L12" s="14">
        <f>'LCOE Sensitivity Analysis'!L86+Parameters!$C$26</f>
        <v>50.177249999999994</v>
      </c>
      <c r="M12" s="14">
        <f>'LCOE Sensitivity Analysis'!M86+Parameters!$C$26</f>
        <v>70.318600000000004</v>
      </c>
      <c r="N12" s="111">
        <f>Parameters!P74</f>
        <v>154840576.11155882</v>
      </c>
      <c r="O12" s="112">
        <f>((((((L12*H12)+(M12*I12))*Parameters!$C$24)/1000000)*N12)/1000000)-BAU!Q12</f>
        <v>584.00272881746139</v>
      </c>
      <c r="P12" s="112">
        <f>(((L12*Parameters!L74)+(M12*Parameters!M74))*Parameters!$C$24)/1000000</f>
        <v>9.4358109177693876</v>
      </c>
      <c r="Q12" s="39">
        <f>(H12+I12)/Parameters!B44</f>
        <v>0.50343909610092819</v>
      </c>
      <c r="R12" s="39">
        <f>Parameters!O74/Parameters!B74</f>
        <v>0.2997991148185562</v>
      </c>
      <c r="S12" s="74">
        <f>(IF(Q12-BAU!N12 &lt; 0, 0, Q12-BAU!N12))+(IF(BAU!O12-R12 &lt; 0,  0, BAU!O12-R12))</f>
        <v>0.17101868498298234</v>
      </c>
      <c r="T12" s="39">
        <f t="shared" si="5"/>
        <v>0.17101868498298234</v>
      </c>
      <c r="U12" s="32">
        <f t="shared" si="6"/>
        <v>4.1610329113423057E-2</v>
      </c>
      <c r="V12" s="75">
        <f>U12*(T12^Parameters!$C$31)</f>
        <v>2.9629418372543965E-4</v>
      </c>
      <c r="W12" s="21">
        <f t="shared" si="7"/>
        <v>0.2997991148185562</v>
      </c>
      <c r="X12" s="21">
        <f t="shared" si="0"/>
        <v>391.25741699296844</v>
      </c>
      <c r="Y12" s="20">
        <f>Y11+(X12/Parameters!$C$12)</f>
        <v>1178.6676637855278</v>
      </c>
      <c r="Z12" s="23">
        <f>Y12*Parameters!$C$13</f>
        <v>2.1216017948139498</v>
      </c>
      <c r="AA12" s="32">
        <f t="shared" si="8"/>
        <v>0.9893617157464446</v>
      </c>
      <c r="AB12" s="28">
        <f>((Parameters!$C$18*F12*AA12)/(D12+B12))^(1/(1-Parameters!$C$21))</f>
        <v>16.496831793165249</v>
      </c>
      <c r="AC12" s="24">
        <f>(1-V12)*AA12*F12*(AB12^Parameters!$C$21)</f>
        <v>16.220028468799033</v>
      </c>
      <c r="AD12" s="23">
        <f>(1-Parameters!$C$18)*AC12</f>
        <v>14.273625052543149</v>
      </c>
      <c r="AE12" s="30">
        <f t="shared" si="1"/>
        <v>2.6584134323422433</v>
      </c>
      <c r="AF12" s="23">
        <f>1/(1+Parameters!$C$22*(A12-$A$7))</f>
        <v>0.72727272727272729</v>
      </c>
      <c r="AG12" s="30">
        <f t="shared" si="2"/>
        <v>99.136468699846446</v>
      </c>
      <c r="AH12" s="30">
        <f>BAU!AF12</f>
        <v>16.753616251228273</v>
      </c>
      <c r="AI12" s="30">
        <f t="shared" si="3"/>
        <v>-27.360214476351747</v>
      </c>
      <c r="AJ12" s="4"/>
      <c r="AK12" s="4"/>
      <c r="AL12" s="4"/>
      <c r="AM12" s="1"/>
      <c r="AN12" s="1"/>
      <c r="AO12" s="1"/>
      <c r="AP12" s="1"/>
      <c r="AQ12" s="1"/>
      <c r="AR12" s="1"/>
      <c r="AS12" s="1"/>
      <c r="AT12" s="1"/>
      <c r="AU12" s="1"/>
      <c r="AV12" s="1"/>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row>
    <row r="13" spans="1:114" x14ac:dyDescent="0.25">
      <c r="A13" s="22">
        <v>2040</v>
      </c>
      <c r="B13" s="27">
        <f>B12/(1+Parameters!$C$4)</f>
        <v>1.6968107115481548E-2</v>
      </c>
      <c r="C13" s="28">
        <f t="shared" si="4"/>
        <v>52.14599442216214</v>
      </c>
      <c r="D13" s="70">
        <f>Parameters!$C$19+(Parameters!$C$20*S13)</f>
        <v>0.10019554666813479</v>
      </c>
      <c r="E13" s="25">
        <f>($E$7/((1+Parameters!$C$8)^(A13-$A$7)))-Parameters!$C$9*Z13</f>
        <v>6.3715164013856684E-2</v>
      </c>
      <c r="F13" s="24">
        <f t="shared" si="9"/>
        <v>5.6844747427796802</v>
      </c>
      <c r="G13" s="116">
        <v>1689.8</v>
      </c>
      <c r="H13" s="14">
        <f>Parameters!L75</f>
        <v>56051.364767958978</v>
      </c>
      <c r="I13" s="14">
        <f>Parameters!M75</f>
        <v>118638.84515261695</v>
      </c>
      <c r="J13" s="14">
        <f>Parameters!N75</f>
        <v>6565.0080727649547</v>
      </c>
      <c r="K13" s="14">
        <f>Parameters!O75</f>
        <v>88648.903792538462</v>
      </c>
      <c r="L13" s="14">
        <f>'LCOE Sensitivity Analysis'!L87+Parameters!$C$26</f>
        <v>49.197600000000001</v>
      </c>
      <c r="M13" s="14">
        <f>'LCOE Sensitivity Analysis'!M87+Parameters!$C$26</f>
        <v>69.647599999999997</v>
      </c>
      <c r="N13" s="111">
        <f>Parameters!P75</f>
        <v>174690209.92057592</v>
      </c>
      <c r="O13" s="112">
        <f>((((((L13*H13)+(M13*I13))*Parameters!$C$24)/1000000)*N13)/1000000)-BAU!Q13</f>
        <v>753.43243880005184</v>
      </c>
      <c r="P13" s="112">
        <f>(((L13*Parameters!L75)+(M13*Parameters!M75))*Parameters!$C$24)/1000000</f>
        <v>10.382416304917387</v>
      </c>
      <c r="Q13" s="39">
        <f>(H13+I13)/Parameters!B45</f>
        <v>0.54653780380508798</v>
      </c>
      <c r="R13" s="39">
        <f>Parameters!O75/Parameters!B75</f>
        <v>0.27734798195348564</v>
      </c>
      <c r="S13" s="74">
        <f>(IF(Q13-BAU!N13 &lt; 0, 0, Q13-BAU!N13))+(IF(BAU!O13-R13 &lt; 0,  0, BAU!O13-R13))</f>
        <v>0.19554666813478716</v>
      </c>
      <c r="T13" s="39">
        <f t="shared" si="5"/>
        <v>0.19554666813478716</v>
      </c>
      <c r="U13" s="32">
        <f t="shared" si="6"/>
        <v>3.8959120169290748E-2</v>
      </c>
      <c r="V13" s="75">
        <f>U13*(T13^Parameters!$C$31)</f>
        <v>4.0374793855525341E-4</v>
      </c>
      <c r="W13" s="21">
        <f t="shared" si="7"/>
        <v>0.27734798195348564</v>
      </c>
      <c r="X13" s="21">
        <f t="shared" si="0"/>
        <v>377.01720610325708</v>
      </c>
      <c r="Y13" s="20">
        <f>Y12+(X13/Parameters!$C$12)</f>
        <v>1281.4905381773251</v>
      </c>
      <c r="Z13" s="23">
        <f>Y13*Parameters!$C$13</f>
        <v>2.3066829687191852</v>
      </c>
      <c r="AA13" s="32">
        <f t="shared" si="8"/>
        <v>0.98744897419989597</v>
      </c>
      <c r="AB13" s="28">
        <f>((Parameters!$C$18*F13*AA13)/(D13+B13))^(1/(1-Parameters!$C$21))</f>
        <v>18.449682875218031</v>
      </c>
      <c r="AC13" s="24">
        <f>(1-V13)*AA13*F13*(AB13^Parameters!$C$21)</f>
        <v>18.006329185349653</v>
      </c>
      <c r="AD13" s="23">
        <f>(1-Parameters!$C$18)*AC13</f>
        <v>15.845569683107694</v>
      </c>
      <c r="AE13" s="30">
        <f t="shared" si="1"/>
        <v>2.762889945990274</v>
      </c>
      <c r="AF13" s="23">
        <f>1/(1+Parameters!$C$22*(A13-$A$7))</f>
        <v>0.68965517241379315</v>
      </c>
      <c r="AG13" s="30">
        <f t="shared" si="2"/>
        <v>99.361133594935652</v>
      </c>
      <c r="AH13" s="30">
        <f>BAU!AF13</f>
        <v>18.731012679021322</v>
      </c>
      <c r="AI13" s="30">
        <f t="shared" si="3"/>
        <v>-37.789341418835853</v>
      </c>
      <c r="AJ13" s="4"/>
      <c r="AK13" s="4"/>
      <c r="AL13" s="4"/>
      <c r="AM13" s="1"/>
      <c r="AN13" s="1"/>
      <c r="AO13" s="1"/>
      <c r="AP13" s="1"/>
      <c r="AQ13" s="1"/>
      <c r="AR13" s="1"/>
      <c r="AS13" s="1"/>
      <c r="AT13" s="1"/>
      <c r="AU13" s="1"/>
      <c r="AV13" s="1"/>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row>
    <row r="14" spans="1:114" x14ac:dyDescent="0.25">
      <c r="A14" s="22">
        <v>2045</v>
      </c>
      <c r="B14" s="27">
        <f>B13/(1+Parameters!$C$4)</f>
        <v>1.6129379387339875E-2</v>
      </c>
      <c r="C14" s="28">
        <f t="shared" si="4"/>
        <v>52.987076949727296</v>
      </c>
      <c r="D14" s="70">
        <f>Parameters!$C$19+(Parameters!$C$20*S14)</f>
        <v>0.10022915107548347</v>
      </c>
      <c r="E14" s="25">
        <f>($E$7/((1+Parameters!$C$8)^(A14-$A$7)))-Parameters!$C$9*Z14</f>
        <v>6.1588417758016746E-2</v>
      </c>
      <c r="F14" s="24">
        <f t="shared" si="9"/>
        <v>6.03457254797289</v>
      </c>
      <c r="G14" s="116">
        <v>1814.7</v>
      </c>
      <c r="H14" s="14">
        <f>Parameters!L76</f>
        <v>64909.021984537998</v>
      </c>
      <c r="I14" s="14">
        <f>Parameters!M76</f>
        <v>122707.60704175716</v>
      </c>
      <c r="J14" s="14">
        <f>Parameters!N76</f>
        <v>3978.2845496199584</v>
      </c>
      <c r="K14" s="14">
        <f>Parameters!O76</f>
        <v>86248.150618829226</v>
      </c>
      <c r="L14" s="14">
        <f>'LCOE Sensitivity Analysis'!L88+Parameters!$C$26</f>
        <v>48.217950000000002</v>
      </c>
      <c r="M14" s="14">
        <f>'LCOE Sensitivity Analysis'!M88+Parameters!$C$26</f>
        <v>68.976599999999991</v>
      </c>
      <c r="N14" s="111">
        <f>Parameters!P76</f>
        <v>187616629.02629516</v>
      </c>
      <c r="O14" s="112">
        <f>((((((L14*H14)+(M14*I14))*Parameters!$C$24)/1000000)*N14)/1000000)-BAU!Q14</f>
        <v>925.59549733261679</v>
      </c>
      <c r="P14" s="112">
        <f>(((L14*Parameters!L76)+(M14*Parameters!M76))*Parameters!$C$24)/1000000</f>
        <v>10.922456334566672</v>
      </c>
      <c r="Q14" s="39">
        <f>(H14+I14)/Parameters!B46</f>
        <v>0.57414691480864855</v>
      </c>
      <c r="R14" s="39">
        <f>Parameters!O76/Parameters!B76</f>
        <v>0.26393774284694216</v>
      </c>
      <c r="S14" s="74">
        <f>(IF(Q14-BAU!N14 &lt; 0, 0, Q14-BAU!N14))+(IF(BAU!O14-R14 &lt; 0,  0, BAU!O14-R14))</f>
        <v>0.22915107548346342</v>
      </c>
      <c r="T14" s="39">
        <f t="shared" si="5"/>
        <v>0.22915107548346342</v>
      </c>
      <c r="U14" s="32">
        <f t="shared" si="6"/>
        <v>3.6559689600819692E-2</v>
      </c>
      <c r="V14" s="75">
        <f>U14*(T14^Parameters!$C$31)</f>
        <v>5.9066851179772261E-4</v>
      </c>
      <c r="W14" s="21">
        <f t="shared" si="7"/>
        <v>0.26393774284694216</v>
      </c>
      <c r="X14" s="21">
        <f t="shared" si="0"/>
        <v>369.21183042382711</v>
      </c>
      <c r="Y14" s="20">
        <f>Y13+(X14/Parameters!$C$12)</f>
        <v>1382.1846737474598</v>
      </c>
      <c r="Z14" s="23">
        <f>Y14*Parameters!$C$13</f>
        <v>2.4879324127454274</v>
      </c>
      <c r="AA14" s="32">
        <f t="shared" si="8"/>
        <v>0.98542893790290687</v>
      </c>
      <c r="AB14" s="28">
        <f>((Parameters!$C$18*F14*AA14)/(D14+B14))^(1/(1-Parameters!$C$21))</f>
        <v>20.547456562548248</v>
      </c>
      <c r="AC14" s="24">
        <f>(1-V14)*AA14*F14*(AB14^Parameters!$C$21)</f>
        <v>19.912163647075467</v>
      </c>
      <c r="AD14" s="23">
        <f>(1-Parameters!$C$18)*AC14</f>
        <v>17.522704009426409</v>
      </c>
      <c r="AE14" s="30">
        <f t="shared" si="1"/>
        <v>2.8634974120368746</v>
      </c>
      <c r="AF14" s="23">
        <f>1/(1+Parameters!$C$22*(A14-$A$7))</f>
        <v>0.65573770491803285</v>
      </c>
      <c r="AG14" s="30">
        <f t="shared" si="2"/>
        <v>99.494005060290391</v>
      </c>
      <c r="AH14" s="30">
        <f>BAU!AF14</f>
        <v>20.873702061172605</v>
      </c>
      <c r="AI14" s="30">
        <f t="shared" si="3"/>
        <v>-50.949109937883797</v>
      </c>
      <c r="AJ14" s="4"/>
      <c r="AK14" s="4"/>
      <c r="AL14" s="4"/>
      <c r="AM14" s="1"/>
      <c r="AN14" s="1"/>
      <c r="AO14" s="1"/>
      <c r="AP14" s="1"/>
      <c r="AQ14" s="1"/>
      <c r="AR14" s="1"/>
      <c r="AS14" s="1"/>
      <c r="AT14" s="1"/>
      <c r="AU14" s="1"/>
      <c r="AV14" s="1"/>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row>
    <row r="15" spans="1:114" x14ac:dyDescent="0.25">
      <c r="A15" s="22">
        <v>2050</v>
      </c>
      <c r="B15" s="27">
        <f>B14/(1+Parameters!$C$4)</f>
        <v>1.533210968378315E-2</v>
      </c>
      <c r="C15" s="28">
        <f t="shared" si="4"/>
        <v>53.79948062534357</v>
      </c>
      <c r="D15" s="70">
        <f>Parameters!$C$19+(Parameters!$C$20*S15)</f>
        <v>0.10028335097704966</v>
      </c>
      <c r="E15" s="25">
        <f>($E$7/((1+Parameters!$C$8)^(A15-$A$7)))-Parameters!$C$9*Z15</f>
        <v>5.9541860352357458E-2</v>
      </c>
      <c r="F15" s="24">
        <f>F14*(1+E15)</f>
        <v>6.3938822239104613</v>
      </c>
      <c r="G15" s="116">
        <v>1946.6</v>
      </c>
      <c r="H15" s="14">
        <f>Parameters!L77</f>
        <v>74068.393832714224</v>
      </c>
      <c r="I15" s="14">
        <f>Parameters!M77</f>
        <v>131146.83197111849</v>
      </c>
      <c r="J15" s="14">
        <f>Parameters!N77</f>
        <v>3015.6680127045206</v>
      </c>
      <c r="K15" s="14">
        <f>Parameters!O77</f>
        <v>77437.164060957017</v>
      </c>
      <c r="L15" s="14">
        <f>'LCOE Sensitivity Analysis'!L89+Parameters!$C$26</f>
        <v>47.258872650000001</v>
      </c>
      <c r="M15" s="14">
        <f>'LCOE Sensitivity Analysis'!M89+Parameters!$C$26</f>
        <v>68.312309999999997</v>
      </c>
      <c r="N15" s="111">
        <f>Parameters!P77</f>
        <v>205215225.80383271</v>
      </c>
      <c r="O15" s="112">
        <f>((((((L15*H15)+(M15*I15))*Parameters!$C$24)/1000000)*N15)/1000000)-BAU!Q15</f>
        <v>1180.304053034873</v>
      </c>
      <c r="P15" s="112">
        <f>(((L15*Parameters!L77)+(M15*Parameters!M77))*Parameters!$C$24)/1000000</f>
        <v>11.737936519548274</v>
      </c>
      <c r="Q15" s="39">
        <f>(H15+I15)/Parameters!B47</f>
        <v>0.61291763968969393</v>
      </c>
      <c r="R15" s="39">
        <f>Parameters!O77/Parameters!B77</f>
        <v>0.23128207780194318</v>
      </c>
      <c r="S15" s="74">
        <f>(IF(Q15-BAU!N15 &lt; 0, 0, Q15-BAU!N15))+(IF(BAU!O15-R15 &lt; 0,  0, BAU!O15-R15))</f>
        <v>0.28335097704965262</v>
      </c>
      <c r="T15" s="39">
        <f t="shared" si="5"/>
        <v>0.28335097704965262</v>
      </c>
      <c r="U15" s="32">
        <f t="shared" si="6"/>
        <v>3.4382857668082155E-2</v>
      </c>
      <c r="V15" s="75">
        <f>U15*(T15^Parameters!$C$31)</f>
        <v>1.0065866589655205E-3</v>
      </c>
      <c r="W15" s="21">
        <f t="shared" si="7"/>
        <v>0.23128207780194318</v>
      </c>
      <c r="X15" s="21">
        <f t="shared" si="0"/>
        <v>322.64520295596202</v>
      </c>
      <c r="Y15" s="20">
        <f>Y14+(X15/Parameters!$C$12)</f>
        <v>1470.1788200081767</v>
      </c>
      <c r="Z15" s="23">
        <f>Y15*Parameters!$C$13</f>
        <v>2.646321876014718</v>
      </c>
      <c r="AA15" s="32">
        <f t="shared" si="8"/>
        <v>0.98354610215182381</v>
      </c>
      <c r="AB15" s="28">
        <f>((Parameters!$C$18*F15*AA15)/(D15+B15))^(1/(1-Parameters!$C$21))</f>
        <v>22.796830837971605</v>
      </c>
      <c r="AC15" s="24">
        <f>(1-V15)*AA15*F15*(AB15^Parameters!$C$21)</f>
        <v>21.941775605054051</v>
      </c>
      <c r="AD15" s="23">
        <f>(1-Parameters!$C$18)*AC15</f>
        <v>19.308762532447567</v>
      </c>
      <c r="AE15" s="30">
        <f t="shared" si="1"/>
        <v>2.9605590101014672</v>
      </c>
      <c r="AF15" s="23">
        <f>1/(1+Parameters!$C$22*(A15-$A$7))</f>
        <v>0.625</v>
      </c>
      <c r="AG15" s="30">
        <f t="shared" si="2"/>
        <v>99.547835690087652</v>
      </c>
      <c r="AH15" s="30">
        <f>BAU!AF15</f>
        <v>23.187993404994479</v>
      </c>
      <c r="AI15" s="30">
        <f t="shared" si="3"/>
        <v>-67.045870382853352</v>
      </c>
      <c r="AJ15" s="4"/>
      <c r="AK15" s="4"/>
      <c r="AL15" s="4"/>
      <c r="AM15" s="1"/>
      <c r="AN15" s="1"/>
      <c r="AO15" s="1"/>
      <c r="AP15" s="1"/>
      <c r="AQ15" s="1"/>
      <c r="AR15" s="1"/>
      <c r="AS15" s="1"/>
      <c r="AT15" s="1"/>
      <c r="AU15" s="1"/>
      <c r="AV15" s="1"/>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row>
    <row r="16" spans="1:114" ht="132.75" customHeight="1" x14ac:dyDescent="0.25">
      <c r="A16" s="3"/>
      <c r="B16" s="4"/>
      <c r="C16" s="4"/>
      <c r="D16" s="4"/>
      <c r="E16" s="4"/>
      <c r="F16" s="4"/>
      <c r="G16" s="4"/>
      <c r="H16" s="4"/>
      <c r="I16" s="4"/>
      <c r="J16" s="4"/>
      <c r="K16" s="4"/>
      <c r="L16" s="182" t="s">
        <v>341</v>
      </c>
      <c r="M16" s="183"/>
      <c r="N16" s="183"/>
      <c r="O16" s="4"/>
      <c r="P16" s="4"/>
      <c r="Q16" s="4"/>
      <c r="R16" s="4"/>
      <c r="S16" s="4"/>
      <c r="T16" s="4"/>
      <c r="U16" s="4"/>
      <c r="V16" s="4"/>
      <c r="W16" s="4"/>
      <c r="X16" s="4"/>
      <c r="Y16" s="4"/>
      <c r="Z16" s="4"/>
      <c r="AA16" s="4"/>
      <c r="AB16" s="4"/>
      <c r="AC16" s="4"/>
      <c r="AD16" s="7"/>
      <c r="AE16" s="7"/>
      <c r="AF16" s="33" t="s">
        <v>78</v>
      </c>
      <c r="AG16" s="88">
        <f>SUM(AG7:AG15)</f>
        <v>886.54933128149219</v>
      </c>
      <c r="AH16" s="108"/>
      <c r="AI16" s="76"/>
      <c r="AJ16" s="4"/>
      <c r="AK16" s="4"/>
      <c r="AL16" s="4"/>
      <c r="AM16" s="1"/>
      <c r="AN16" s="1"/>
      <c r="AO16" s="1"/>
      <c r="AP16" s="1"/>
      <c r="AQ16" s="1"/>
      <c r="AR16" s="1"/>
      <c r="AS16" s="1"/>
      <c r="AT16" s="1"/>
      <c r="AU16" s="1"/>
      <c r="AV16" s="1"/>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row>
    <row r="17" spans="1:114" x14ac:dyDescent="0.2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7"/>
      <c r="AE17" s="7"/>
      <c r="AF17" s="4"/>
      <c r="AG17" s="4"/>
      <c r="AH17" s="4"/>
      <c r="AI17" s="4"/>
      <c r="AJ17" s="4"/>
      <c r="AK17" s="4"/>
      <c r="AL17" s="4"/>
      <c r="AM17" s="1"/>
      <c r="AN17" s="1"/>
      <c r="AO17" s="1"/>
      <c r="AP17" s="1"/>
      <c r="AQ17" s="1"/>
      <c r="AR17" s="1"/>
      <c r="AS17" s="1"/>
      <c r="AT17" s="1"/>
      <c r="AU17" s="1"/>
      <c r="AV17" s="1"/>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row>
    <row r="18" spans="1:114" x14ac:dyDescent="0.2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7"/>
      <c r="AE18" s="7"/>
      <c r="AF18" s="4"/>
      <c r="AG18" s="4"/>
      <c r="AH18" s="4"/>
      <c r="AI18" s="4"/>
      <c r="AJ18" s="4"/>
      <c r="AK18" s="4"/>
      <c r="AL18" s="4"/>
      <c r="AM18" s="1"/>
      <c r="AN18" s="1"/>
      <c r="AO18" s="1"/>
      <c r="AP18" s="1"/>
      <c r="AQ18" s="1"/>
      <c r="AR18" s="1"/>
      <c r="AS18" s="1"/>
      <c r="AT18" s="1"/>
      <c r="AU18" s="1"/>
      <c r="AV18" s="1"/>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row>
    <row r="19" spans="1:114" x14ac:dyDescent="0.25">
      <c r="A19" s="3"/>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7"/>
      <c r="AE19" s="7"/>
      <c r="AF19" s="4"/>
      <c r="AG19" s="4"/>
      <c r="AH19" s="4"/>
      <c r="AI19" s="4"/>
      <c r="AJ19" s="4"/>
      <c r="AK19" s="4"/>
      <c r="AL19" s="4"/>
      <c r="AM19" s="1"/>
      <c r="AN19" s="1"/>
      <c r="AO19" s="1"/>
      <c r="AP19" s="1"/>
      <c r="AQ19" s="1"/>
      <c r="AR19" s="1"/>
      <c r="AS19" s="1"/>
      <c r="AT19" s="1"/>
      <c r="AU19" s="1"/>
      <c r="AV19" s="1"/>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row>
    <row r="20" spans="1:114" x14ac:dyDescent="0.25">
      <c r="A20" s="3"/>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7"/>
      <c r="AE20" s="7"/>
      <c r="AF20" s="4"/>
      <c r="AG20" s="4"/>
      <c r="AH20" s="4"/>
      <c r="AI20" s="4"/>
      <c r="AJ20" s="4"/>
      <c r="AK20" s="4"/>
      <c r="AL20" s="4"/>
      <c r="AM20" s="1"/>
      <c r="AN20" s="1"/>
      <c r="AO20" s="1"/>
      <c r="AP20" s="1"/>
      <c r="AQ20" s="1"/>
      <c r="AR20" s="1"/>
      <c r="AS20" s="1"/>
      <c r="AT20" s="1"/>
      <c r="AU20" s="1"/>
      <c r="AV20" s="1"/>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row>
    <row r="21" spans="1:114" x14ac:dyDescent="0.25">
      <c r="A21" s="3"/>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7"/>
      <c r="AE21" s="7"/>
      <c r="AF21" s="4"/>
      <c r="AG21" s="4"/>
      <c r="AH21" s="4"/>
      <c r="AI21" s="4"/>
      <c r="AJ21" s="4"/>
      <c r="AK21" s="4"/>
      <c r="AL21" s="4"/>
      <c r="AM21" s="1"/>
      <c r="AN21" s="1"/>
      <c r="AO21" s="1"/>
      <c r="AP21" s="1"/>
      <c r="AQ21" s="1"/>
      <c r="AR21" s="1"/>
      <c r="AS21" s="1"/>
      <c r="AT21" s="1"/>
      <c r="AU21" s="1"/>
      <c r="AV21" s="1"/>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row>
    <row r="22" spans="1:114" x14ac:dyDescent="0.25">
      <c r="A22" s="3"/>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7"/>
      <c r="AE22" s="7"/>
      <c r="AF22" s="4"/>
      <c r="AG22" s="4"/>
      <c r="AH22" s="4"/>
      <c r="AI22" s="4"/>
      <c r="AJ22" s="4"/>
      <c r="AK22" s="4"/>
      <c r="AL22" s="4"/>
      <c r="AM22" s="1"/>
      <c r="AN22" s="1"/>
      <c r="AO22" s="1"/>
      <c r="AP22" s="1"/>
      <c r="AQ22" s="1"/>
      <c r="AR22" s="1"/>
      <c r="AS22" s="1"/>
      <c r="AT22" s="1"/>
      <c r="AU22" s="1"/>
      <c r="AV22" s="1"/>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row>
    <row r="23" spans="1:114" x14ac:dyDescent="0.25">
      <c r="A23" s="3"/>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7"/>
      <c r="AE23" s="7"/>
      <c r="AF23" s="4"/>
      <c r="AG23" s="4"/>
      <c r="AH23" s="4"/>
      <c r="AI23" s="4"/>
      <c r="AJ23" s="4"/>
      <c r="AK23" s="4"/>
      <c r="AL23" s="4"/>
      <c r="AM23" s="1"/>
      <c r="AN23" s="1"/>
      <c r="AO23" s="1"/>
      <c r="AP23" s="1"/>
      <c r="AQ23" s="1"/>
      <c r="AR23" s="1"/>
      <c r="AS23" s="1"/>
      <c r="AT23" s="1"/>
      <c r="AU23" s="1"/>
      <c r="AV23" s="1"/>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row>
    <row r="24" spans="1:114" x14ac:dyDescent="0.25">
      <c r="A24" s="3"/>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7"/>
      <c r="AE24" s="7"/>
      <c r="AF24" s="4"/>
      <c r="AG24" s="4"/>
      <c r="AH24" s="4"/>
      <c r="AI24" s="4"/>
      <c r="AJ24" s="4"/>
      <c r="AK24" s="4"/>
      <c r="AL24" s="4"/>
      <c r="AM24" s="1"/>
      <c r="AN24" s="1"/>
      <c r="AO24" s="1"/>
      <c r="AP24" s="1"/>
      <c r="AQ24" s="1"/>
      <c r="AR24" s="1"/>
      <c r="AS24" s="1"/>
      <c r="AT24" s="1"/>
      <c r="AU24" s="1"/>
      <c r="AV24" s="1"/>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row>
    <row r="25" spans="1:114" x14ac:dyDescent="0.25">
      <c r="A25" s="3"/>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7"/>
      <c r="AE25" s="7"/>
      <c r="AF25" s="4"/>
      <c r="AG25" s="4"/>
      <c r="AH25" s="4"/>
      <c r="AI25" s="4"/>
      <c r="AJ25" s="4"/>
      <c r="AK25" s="4"/>
      <c r="AL25" s="4"/>
      <c r="AM25" s="1"/>
      <c r="AN25" s="1"/>
      <c r="AO25" s="1"/>
      <c r="AP25" s="1"/>
      <c r="AQ25" s="1"/>
      <c r="AR25" s="1"/>
      <c r="AS25" s="1"/>
      <c r="AT25" s="1"/>
      <c r="AU25" s="1"/>
      <c r="AV25" s="1"/>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row>
    <row r="26" spans="1:114" x14ac:dyDescent="0.25">
      <c r="A26" s="3"/>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7"/>
      <c r="AE26" s="7"/>
      <c r="AF26" s="4"/>
      <c r="AG26" s="4"/>
      <c r="AH26" s="4"/>
      <c r="AI26" s="4"/>
      <c r="AJ26" s="4"/>
      <c r="AK26" s="4"/>
      <c r="AL26" s="4"/>
      <c r="AM26" s="1"/>
      <c r="AN26" s="1"/>
      <c r="AO26" s="1"/>
      <c r="AP26" s="1"/>
      <c r="AQ26" s="1"/>
      <c r="AR26" s="1"/>
      <c r="AS26" s="1"/>
      <c r="AT26" s="1"/>
      <c r="AU26" s="1"/>
      <c r="AV26" s="1"/>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row>
    <row r="27" spans="1:114" x14ac:dyDescent="0.25">
      <c r="A27" s="3"/>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7"/>
      <c r="AE27" s="7"/>
      <c r="AF27" s="4"/>
      <c r="AG27" s="4"/>
      <c r="AH27" s="4"/>
      <c r="AI27" s="4"/>
      <c r="AJ27" s="4"/>
      <c r="AK27" s="4"/>
      <c r="AL27" s="4"/>
      <c r="AM27" s="1"/>
      <c r="AN27" s="1"/>
      <c r="AO27" s="1"/>
      <c r="AP27" s="1"/>
      <c r="AQ27" s="1"/>
      <c r="AR27" s="1"/>
      <c r="AS27" s="1"/>
      <c r="AT27" s="1"/>
      <c r="AU27" s="1"/>
      <c r="AV27" s="1"/>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row>
    <row r="28" spans="1:114" x14ac:dyDescent="0.25">
      <c r="A28" s="3"/>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7"/>
      <c r="AE28" s="7"/>
      <c r="AF28" s="4"/>
      <c r="AG28" s="4"/>
      <c r="AH28" s="4"/>
      <c r="AI28" s="4"/>
      <c r="AJ28" s="4"/>
      <c r="AK28" s="4"/>
      <c r="AL28" s="4"/>
      <c r="AM28" s="1"/>
      <c r="AN28" s="1"/>
      <c r="AO28" s="1"/>
      <c r="AP28" s="1"/>
      <c r="AQ28" s="1"/>
      <c r="AR28" s="1"/>
      <c r="AS28" s="1"/>
      <c r="AT28" s="1"/>
      <c r="AU28" s="1"/>
      <c r="AV28" s="1"/>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row>
    <row r="29" spans="1:114" x14ac:dyDescent="0.25">
      <c r="A29" s="3"/>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7"/>
      <c r="AE29" s="7"/>
      <c r="AF29" s="4"/>
      <c r="AG29" s="4"/>
      <c r="AH29" s="4"/>
      <c r="AI29" s="4"/>
      <c r="AJ29" s="4"/>
      <c r="AK29" s="4"/>
      <c r="AL29" s="4"/>
      <c r="AM29" s="1"/>
      <c r="AN29" s="1"/>
      <c r="AO29" s="1"/>
      <c r="AP29" s="1"/>
      <c r="AQ29" s="1"/>
      <c r="AR29" s="1"/>
      <c r="AS29" s="1"/>
      <c r="AT29" s="1"/>
      <c r="AU29" s="1"/>
      <c r="AV29" s="1"/>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row>
    <row r="30" spans="1:114" x14ac:dyDescent="0.25">
      <c r="A30" s="3"/>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7"/>
      <c r="AE30" s="7"/>
      <c r="AF30" s="4"/>
      <c r="AG30" s="4"/>
      <c r="AH30" s="4"/>
      <c r="AI30" s="4"/>
      <c r="AJ30" s="4"/>
      <c r="AK30" s="4"/>
      <c r="AL30" s="4"/>
      <c r="AM30" s="1"/>
      <c r="AN30" s="1"/>
      <c r="AO30" s="1"/>
      <c r="AP30" s="1"/>
      <c r="AQ30" s="1"/>
      <c r="AR30" s="1"/>
      <c r="AS30" s="1"/>
      <c r="AT30" s="1"/>
      <c r="AU30" s="1"/>
      <c r="AV30" s="1"/>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row>
    <row r="31" spans="1:114" x14ac:dyDescent="0.25">
      <c r="A31" s="3"/>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7"/>
      <c r="AE31" s="7"/>
      <c r="AF31" s="4"/>
      <c r="AG31" s="4"/>
      <c r="AH31" s="4"/>
      <c r="AI31" s="4"/>
      <c r="AJ31" s="4"/>
      <c r="AK31" s="4"/>
      <c r="AL31" s="4"/>
      <c r="AM31" s="1"/>
      <c r="AN31" s="1"/>
      <c r="AO31" s="1"/>
      <c r="AP31" s="1"/>
      <c r="AQ31" s="1"/>
      <c r="AR31" s="1"/>
      <c r="AS31" s="1"/>
      <c r="AT31" s="1"/>
      <c r="AU31" s="1"/>
      <c r="AV31" s="1"/>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row>
    <row r="32" spans="1:114" x14ac:dyDescent="0.25">
      <c r="A32" s="3"/>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7"/>
      <c r="AE32" s="7"/>
      <c r="AF32" s="4"/>
      <c r="AG32" s="4"/>
      <c r="AH32" s="4"/>
      <c r="AI32" s="4"/>
      <c r="AJ32" s="4"/>
      <c r="AK32" s="4"/>
      <c r="AL32" s="4"/>
      <c r="AM32" s="1"/>
      <c r="AN32" s="1"/>
      <c r="AO32" s="1"/>
      <c r="AP32" s="1"/>
      <c r="AQ32" s="1"/>
      <c r="AR32" s="1"/>
      <c r="AS32" s="1"/>
      <c r="AT32" s="1"/>
      <c r="AU32" s="1"/>
      <c r="AV32" s="1"/>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row>
    <row r="33" spans="1:114" x14ac:dyDescent="0.25">
      <c r="A33" s="3"/>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7"/>
      <c r="AE33" s="7"/>
      <c r="AF33" s="4"/>
      <c r="AG33" s="4"/>
      <c r="AH33" s="4"/>
      <c r="AI33" s="4"/>
      <c r="AJ33" s="4"/>
      <c r="AK33" s="4"/>
      <c r="AL33" s="4"/>
      <c r="AM33" s="1"/>
      <c r="AN33" s="1"/>
      <c r="AO33" s="1"/>
      <c r="AP33" s="1"/>
      <c r="AQ33" s="1"/>
      <c r="AR33" s="1"/>
      <c r="AS33" s="1"/>
      <c r="AT33" s="1"/>
      <c r="AU33" s="1"/>
      <c r="AV33" s="1"/>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row>
    <row r="34" spans="1:114" x14ac:dyDescent="0.25">
      <c r="A34" s="3"/>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7"/>
      <c r="AE34" s="7"/>
      <c r="AF34" s="4"/>
      <c r="AG34" s="4"/>
      <c r="AH34" s="4"/>
      <c r="AI34" s="4"/>
      <c r="AJ34" s="4"/>
      <c r="AK34" s="4"/>
      <c r="AL34" s="4"/>
      <c r="AM34" s="1"/>
      <c r="AN34" s="1"/>
      <c r="AO34" s="1"/>
      <c r="AP34" s="1"/>
      <c r="AQ34" s="1"/>
      <c r="AR34" s="1"/>
      <c r="AS34" s="1"/>
      <c r="AT34" s="1"/>
      <c r="AU34" s="1"/>
      <c r="AV34" s="1"/>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row>
    <row r="35" spans="1:114" x14ac:dyDescent="0.25">
      <c r="A35" s="3"/>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7"/>
      <c r="AE35" s="7"/>
      <c r="AF35" s="4"/>
      <c r="AG35" s="4"/>
      <c r="AH35" s="4"/>
      <c r="AI35" s="4"/>
      <c r="AJ35" s="4"/>
      <c r="AK35" s="4"/>
      <c r="AL35" s="4"/>
      <c r="AM35" s="1"/>
      <c r="AN35" s="1"/>
      <c r="AO35" s="1"/>
      <c r="AP35" s="1"/>
      <c r="AQ35" s="1"/>
      <c r="AR35" s="1"/>
      <c r="AS35" s="1"/>
      <c r="AT35" s="1"/>
      <c r="AU35" s="1"/>
      <c r="AV35" s="1"/>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row>
    <row r="36" spans="1:114" x14ac:dyDescent="0.25">
      <c r="A36" s="3"/>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7"/>
      <c r="AE36" s="7"/>
      <c r="AF36" s="4"/>
      <c r="AG36" s="4"/>
      <c r="AH36" s="4"/>
      <c r="AI36" s="4"/>
      <c r="AJ36" s="4"/>
      <c r="AK36" s="4"/>
      <c r="AL36" s="4"/>
      <c r="AM36" s="1"/>
      <c r="AN36" s="1"/>
      <c r="AO36" s="1"/>
      <c r="AP36" s="1"/>
      <c r="AQ36" s="1"/>
      <c r="AR36" s="1"/>
      <c r="AS36" s="1"/>
      <c r="AT36" s="1"/>
      <c r="AU36" s="1"/>
      <c r="AV36" s="1"/>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row>
    <row r="37" spans="1:114" x14ac:dyDescent="0.25">
      <c r="A37" s="3"/>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7"/>
      <c r="AE37" s="7"/>
      <c r="AF37" s="4"/>
      <c r="AG37" s="4"/>
      <c r="AH37" s="4"/>
      <c r="AI37" s="4"/>
      <c r="AJ37" s="4"/>
      <c r="AK37" s="4"/>
      <c r="AL37" s="4"/>
      <c r="AM37" s="1"/>
      <c r="AN37" s="1"/>
      <c r="AO37" s="1"/>
      <c r="AP37" s="1"/>
      <c r="AQ37" s="1"/>
      <c r="AR37" s="1"/>
      <c r="AS37" s="1"/>
      <c r="AT37" s="1"/>
      <c r="AU37" s="1"/>
      <c r="AV37" s="1"/>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row>
    <row r="38" spans="1:114" x14ac:dyDescent="0.25">
      <c r="A38" s="3"/>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7"/>
      <c r="AE38" s="7"/>
      <c r="AF38" s="4"/>
      <c r="AG38" s="4"/>
      <c r="AH38" s="4"/>
      <c r="AI38" s="4"/>
      <c r="AJ38" s="4"/>
      <c r="AK38" s="4"/>
      <c r="AL38" s="4"/>
      <c r="AM38" s="1"/>
      <c r="AN38" s="1"/>
      <c r="AO38" s="1"/>
      <c r="AP38" s="1"/>
      <c r="AQ38" s="1"/>
      <c r="AR38" s="1"/>
      <c r="AS38" s="1"/>
      <c r="AT38" s="1"/>
      <c r="AU38" s="1"/>
      <c r="AV38" s="1"/>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row>
    <row r="39" spans="1:114" x14ac:dyDescent="0.25">
      <c r="A39" s="3"/>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7"/>
      <c r="AE39" s="7"/>
      <c r="AF39" s="4"/>
      <c r="AG39" s="4"/>
      <c r="AH39" s="4"/>
      <c r="AI39" s="4"/>
      <c r="AJ39" s="4"/>
      <c r="AK39" s="4"/>
      <c r="AL39" s="4"/>
      <c r="AM39" s="1"/>
      <c r="AN39" s="1"/>
      <c r="AO39" s="1"/>
      <c r="AP39" s="1"/>
      <c r="AQ39" s="1"/>
      <c r="AR39" s="1"/>
      <c r="AS39" s="1"/>
      <c r="AT39" s="1"/>
      <c r="AU39" s="1"/>
      <c r="AV39" s="1"/>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row>
    <row r="40" spans="1:114" x14ac:dyDescent="0.25">
      <c r="A40" s="3"/>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7"/>
      <c r="AE40" s="7"/>
      <c r="AF40" s="4"/>
      <c r="AG40" s="4"/>
      <c r="AH40" s="4"/>
      <c r="AI40" s="4"/>
      <c r="AJ40" s="4"/>
      <c r="AK40" s="4"/>
      <c r="AL40" s="4"/>
      <c r="AM40" s="1"/>
      <c r="AN40" s="1"/>
      <c r="AO40" s="1"/>
      <c r="AP40" s="1"/>
      <c r="AQ40" s="1"/>
      <c r="AR40" s="1"/>
      <c r="AS40" s="1"/>
      <c r="AT40" s="1"/>
      <c r="AU40" s="1"/>
      <c r="AV40" s="1"/>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row>
    <row r="41" spans="1:114" x14ac:dyDescent="0.25">
      <c r="A41" s="3"/>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7"/>
      <c r="AE41" s="7"/>
      <c r="AF41" s="4"/>
      <c r="AG41" s="4"/>
      <c r="AH41" s="4"/>
      <c r="AI41" s="4"/>
      <c r="AJ41" s="4"/>
      <c r="AK41" s="4"/>
      <c r="AL41" s="4"/>
      <c r="AM41" s="1"/>
      <c r="AN41" s="1"/>
      <c r="AO41" s="1"/>
      <c r="AP41" s="1"/>
      <c r="AQ41" s="1"/>
      <c r="AR41" s="1"/>
      <c r="AS41" s="1"/>
      <c r="AT41" s="1"/>
      <c r="AU41" s="1"/>
      <c r="AV41" s="1"/>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row>
    <row r="42" spans="1:114" x14ac:dyDescent="0.25">
      <c r="A42" s="3"/>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7"/>
      <c r="AE42" s="7"/>
      <c r="AF42" s="4"/>
      <c r="AG42" s="4"/>
      <c r="AH42" s="4"/>
      <c r="AI42" s="4"/>
      <c r="AJ42" s="4"/>
      <c r="AK42" s="4"/>
      <c r="AL42" s="4"/>
      <c r="AM42" s="1"/>
      <c r="AN42" s="1"/>
      <c r="AO42" s="1"/>
      <c r="AP42" s="1"/>
      <c r="AQ42" s="1"/>
      <c r="AR42" s="1"/>
      <c r="AS42" s="1"/>
      <c r="AT42" s="1"/>
      <c r="AU42" s="1"/>
      <c r="AV42" s="1"/>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row>
    <row r="43" spans="1:114" x14ac:dyDescent="0.25">
      <c r="A43" s="3"/>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7"/>
      <c r="AE43" s="7"/>
      <c r="AF43" s="4"/>
      <c r="AG43" s="4"/>
      <c r="AH43" s="4"/>
      <c r="AI43" s="4"/>
      <c r="AJ43" s="4"/>
      <c r="AK43" s="4"/>
      <c r="AL43" s="4"/>
      <c r="AM43" s="1"/>
      <c r="AN43" s="1"/>
      <c r="AO43" s="1"/>
      <c r="AP43" s="1"/>
      <c r="AQ43" s="1"/>
      <c r="AR43" s="1"/>
      <c r="AS43" s="1"/>
      <c r="AT43" s="1"/>
      <c r="AU43" s="1"/>
      <c r="AV43" s="1"/>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row>
    <row r="44" spans="1:114" x14ac:dyDescent="0.25">
      <c r="A44" s="3"/>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7"/>
      <c r="AE44" s="7"/>
      <c r="AF44" s="4"/>
      <c r="AG44" s="4"/>
      <c r="AH44" s="4"/>
      <c r="AI44" s="4"/>
      <c r="AJ44" s="4"/>
      <c r="AK44" s="4"/>
      <c r="AL44" s="4"/>
      <c r="AM44" s="1"/>
      <c r="AN44" s="1"/>
      <c r="AO44" s="1"/>
      <c r="AP44" s="1"/>
      <c r="AQ44" s="1"/>
      <c r="AR44" s="1"/>
      <c r="AS44" s="1"/>
      <c r="AT44" s="1"/>
      <c r="AU44" s="1"/>
      <c r="AV44" s="1"/>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row>
    <row r="45" spans="1:114" x14ac:dyDescent="0.25">
      <c r="A45" s="3"/>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7"/>
      <c r="AE45" s="7"/>
      <c r="AF45" s="4"/>
      <c r="AG45" s="4"/>
      <c r="AH45" s="4"/>
      <c r="AI45" s="4"/>
      <c r="AJ45" s="4"/>
      <c r="AK45" s="4"/>
      <c r="AL45" s="4"/>
      <c r="AM45" s="1"/>
      <c r="AN45" s="1"/>
      <c r="AO45" s="1"/>
      <c r="AP45" s="1"/>
      <c r="AQ45" s="1"/>
      <c r="AR45" s="1"/>
      <c r="AS45" s="1"/>
      <c r="AT45" s="1"/>
      <c r="AU45" s="1"/>
      <c r="AV45" s="1"/>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row>
    <row r="46" spans="1:114" x14ac:dyDescent="0.25">
      <c r="A46" s="3"/>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7"/>
      <c r="AE46" s="7"/>
      <c r="AF46" s="4"/>
      <c r="AG46" s="4"/>
      <c r="AH46" s="4"/>
      <c r="AI46" s="4"/>
      <c r="AJ46" s="4"/>
      <c r="AK46" s="4"/>
      <c r="AL46" s="4"/>
      <c r="AM46" s="1"/>
      <c r="AN46" s="1"/>
      <c r="AO46" s="1"/>
      <c r="AP46" s="1"/>
      <c r="AQ46" s="1"/>
      <c r="AR46" s="1"/>
      <c r="AS46" s="1"/>
      <c r="AT46" s="1"/>
      <c r="AU46" s="1"/>
      <c r="AV46" s="1"/>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row>
    <row r="47" spans="1:114" x14ac:dyDescent="0.25">
      <c r="A47" s="3"/>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7"/>
      <c r="AE47" s="7"/>
      <c r="AF47" s="4"/>
      <c r="AG47" s="4"/>
      <c r="AH47" s="4"/>
      <c r="AI47" s="4"/>
      <c r="AJ47" s="4"/>
      <c r="AK47" s="4"/>
      <c r="AL47" s="4"/>
      <c r="AM47" s="1"/>
      <c r="AN47" s="1"/>
      <c r="AO47" s="1"/>
      <c r="AP47" s="1"/>
      <c r="AQ47" s="1"/>
      <c r="AR47" s="1"/>
      <c r="AS47" s="1"/>
      <c r="AT47" s="1"/>
      <c r="AU47" s="1"/>
      <c r="AV47" s="1"/>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row>
    <row r="48" spans="1:114" x14ac:dyDescent="0.25">
      <c r="A48" s="3"/>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7"/>
      <c r="AE48" s="7"/>
      <c r="AF48" s="4"/>
      <c r="AG48" s="4"/>
      <c r="AH48" s="4"/>
      <c r="AI48" s="4"/>
      <c r="AJ48" s="4"/>
      <c r="AK48" s="4"/>
      <c r="AL48" s="4"/>
      <c r="AM48" s="1"/>
      <c r="AN48" s="1"/>
      <c r="AO48" s="1"/>
      <c r="AP48" s="1"/>
      <c r="AQ48" s="1"/>
      <c r="AR48" s="1"/>
      <c r="AS48" s="1"/>
      <c r="AT48" s="1"/>
      <c r="AU48" s="1"/>
      <c r="AV48" s="1"/>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row>
    <row r="49" spans="1:114" x14ac:dyDescent="0.25">
      <c r="A49" s="3"/>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7"/>
      <c r="AE49" s="7"/>
      <c r="AF49" s="4"/>
      <c r="AG49" s="4"/>
      <c r="AH49" s="4"/>
      <c r="AI49" s="4"/>
      <c r="AJ49" s="4"/>
      <c r="AK49" s="4"/>
      <c r="AL49" s="4"/>
      <c r="AM49" s="1"/>
      <c r="AN49" s="1"/>
      <c r="AO49" s="1"/>
      <c r="AP49" s="1"/>
      <c r="AQ49" s="1"/>
      <c r="AR49" s="1"/>
      <c r="AS49" s="1"/>
      <c r="AT49" s="1"/>
      <c r="AU49" s="1"/>
      <c r="AV49" s="1"/>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row>
    <row r="50" spans="1:114" x14ac:dyDescent="0.25">
      <c r="A50" s="3"/>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7"/>
      <c r="AE50" s="7"/>
      <c r="AF50" s="4"/>
      <c r="AG50" s="4"/>
      <c r="AH50" s="4"/>
      <c r="AI50" s="4"/>
      <c r="AJ50" s="4"/>
      <c r="AK50" s="4"/>
      <c r="AL50" s="4"/>
      <c r="AM50" s="1"/>
      <c r="AN50" s="1"/>
      <c r="AO50" s="1"/>
      <c r="AP50" s="1"/>
      <c r="AQ50" s="1"/>
      <c r="AR50" s="1"/>
      <c r="AS50" s="1"/>
      <c r="AT50" s="1"/>
      <c r="AU50" s="1"/>
      <c r="AV50" s="1"/>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row>
    <row r="51" spans="1:114" x14ac:dyDescent="0.25">
      <c r="A51" s="3"/>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7"/>
      <c r="AE51" s="7"/>
      <c r="AF51" s="4"/>
      <c r="AG51" s="4"/>
      <c r="AH51" s="4"/>
      <c r="AI51" s="4"/>
      <c r="AJ51" s="4"/>
      <c r="AK51" s="4"/>
      <c r="AL51" s="4"/>
      <c r="AM51" s="1"/>
      <c r="AN51" s="1"/>
      <c r="AO51" s="1"/>
      <c r="AP51" s="1"/>
      <c r="AQ51" s="1"/>
      <c r="AR51" s="1"/>
      <c r="AS51" s="1"/>
      <c r="AT51" s="1"/>
      <c r="AU51" s="1"/>
      <c r="AV51" s="1"/>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row>
    <row r="52" spans="1:114" x14ac:dyDescent="0.25">
      <c r="A52" s="3"/>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7"/>
      <c r="AE52" s="7"/>
      <c r="AF52" s="4"/>
      <c r="AG52" s="4"/>
      <c r="AH52" s="4"/>
      <c r="AI52" s="4"/>
      <c r="AJ52" s="4"/>
      <c r="AK52" s="4"/>
      <c r="AL52" s="4"/>
      <c r="AM52" s="1"/>
      <c r="AN52" s="1"/>
      <c r="AO52" s="1"/>
      <c r="AP52" s="1"/>
      <c r="AQ52" s="1"/>
      <c r="AR52" s="1"/>
      <c r="AS52" s="1"/>
      <c r="AT52" s="1"/>
      <c r="AU52" s="1"/>
      <c r="AV52" s="1"/>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row>
    <row r="53" spans="1:114" x14ac:dyDescent="0.25">
      <c r="A53" s="3"/>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7"/>
      <c r="AE53" s="7"/>
      <c r="AF53" s="4"/>
      <c r="AG53" s="4"/>
      <c r="AH53" s="4"/>
      <c r="AI53" s="4"/>
      <c r="AJ53" s="4"/>
      <c r="AK53" s="4"/>
      <c r="AL53" s="4"/>
      <c r="AM53" s="1"/>
      <c r="AN53" s="1"/>
      <c r="AO53" s="1"/>
      <c r="AP53" s="1"/>
      <c r="AQ53" s="1"/>
      <c r="AR53" s="1"/>
      <c r="AS53" s="1"/>
      <c r="AT53" s="1"/>
      <c r="AU53" s="1"/>
      <c r="AV53" s="1"/>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row>
    <row r="54" spans="1:114" x14ac:dyDescent="0.25">
      <c r="A54" s="3"/>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7"/>
      <c r="AE54" s="7"/>
      <c r="AF54" s="4"/>
      <c r="AG54" s="4"/>
      <c r="AH54" s="4"/>
      <c r="AI54" s="4"/>
      <c r="AJ54" s="4"/>
      <c r="AK54" s="4"/>
      <c r="AL54" s="4"/>
      <c r="AM54" s="1"/>
      <c r="AN54" s="1"/>
      <c r="AO54" s="1"/>
      <c r="AP54" s="1"/>
      <c r="AQ54" s="1"/>
      <c r="AR54" s="1"/>
      <c r="AS54" s="1"/>
      <c r="AT54" s="1"/>
      <c r="AU54" s="1"/>
      <c r="AV54" s="1"/>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row>
    <row r="55" spans="1:114" x14ac:dyDescent="0.25">
      <c r="A55" s="3"/>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7"/>
      <c r="AE55" s="7"/>
      <c r="AF55" s="4"/>
      <c r="AG55" s="4"/>
      <c r="AH55" s="4"/>
      <c r="AI55" s="4"/>
      <c r="AJ55" s="4"/>
      <c r="AK55" s="4"/>
      <c r="AL55" s="4"/>
      <c r="AM55" s="1"/>
      <c r="AN55" s="1"/>
      <c r="AO55" s="1"/>
      <c r="AP55" s="1"/>
      <c r="AQ55" s="1"/>
      <c r="AR55" s="1"/>
      <c r="AS55" s="1"/>
      <c r="AT55" s="1"/>
      <c r="AU55" s="1"/>
      <c r="AV55" s="1"/>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row>
    <row r="56" spans="1:114" x14ac:dyDescent="0.25">
      <c r="A56" s="3"/>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7"/>
      <c r="AE56" s="7"/>
      <c r="AF56" s="4"/>
      <c r="AG56" s="4"/>
      <c r="AH56" s="4"/>
      <c r="AI56" s="4"/>
      <c r="AJ56" s="4"/>
      <c r="AK56" s="4"/>
      <c r="AL56" s="4"/>
      <c r="AM56" s="1"/>
      <c r="AN56" s="1"/>
      <c r="AO56" s="1"/>
      <c r="AP56" s="1"/>
      <c r="AQ56" s="1"/>
      <c r="AR56" s="1"/>
      <c r="AS56" s="1"/>
      <c r="AT56" s="1"/>
      <c r="AU56" s="1"/>
      <c r="AV56" s="1"/>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row>
    <row r="57" spans="1:114" x14ac:dyDescent="0.25">
      <c r="A57" s="3"/>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7"/>
      <c r="AE57" s="7"/>
      <c r="AF57" s="4"/>
      <c r="AG57" s="4"/>
      <c r="AH57" s="4"/>
      <c r="AI57" s="4"/>
      <c r="AJ57" s="4"/>
      <c r="AK57" s="4"/>
      <c r="AL57" s="4"/>
      <c r="AM57" s="1"/>
      <c r="AN57" s="1"/>
      <c r="AO57" s="1"/>
      <c r="AP57" s="1"/>
      <c r="AQ57" s="1"/>
      <c r="AR57" s="1"/>
      <c r="AS57" s="1"/>
      <c r="AT57" s="1"/>
      <c r="AU57" s="1"/>
      <c r="AV57" s="1"/>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row>
    <row r="58" spans="1:114" x14ac:dyDescent="0.25">
      <c r="A58" s="3"/>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7"/>
      <c r="AE58" s="7"/>
      <c r="AF58" s="4"/>
      <c r="AG58" s="4"/>
      <c r="AH58" s="4"/>
      <c r="AI58" s="4"/>
      <c r="AJ58" s="4"/>
      <c r="AK58" s="4"/>
      <c r="AL58" s="4"/>
      <c r="AM58" s="1"/>
      <c r="AN58" s="1"/>
      <c r="AO58" s="1"/>
      <c r="AP58" s="1"/>
      <c r="AQ58" s="1"/>
      <c r="AR58" s="1"/>
      <c r="AS58" s="1"/>
      <c r="AT58" s="1"/>
      <c r="AU58" s="1"/>
      <c r="AV58" s="1"/>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row>
    <row r="59" spans="1:114" x14ac:dyDescent="0.25">
      <c r="A59" s="3"/>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7"/>
      <c r="AE59" s="7"/>
      <c r="AF59" s="4"/>
      <c r="AG59" s="4"/>
      <c r="AH59" s="4"/>
      <c r="AI59" s="4"/>
      <c r="AJ59" s="4"/>
      <c r="AK59" s="4"/>
      <c r="AL59" s="4"/>
      <c r="AM59" s="1"/>
      <c r="AN59" s="1"/>
      <c r="AO59" s="1"/>
      <c r="AP59" s="1"/>
      <c r="AQ59" s="1"/>
      <c r="AR59" s="1"/>
      <c r="AS59" s="1"/>
      <c r="AT59" s="1"/>
      <c r="AU59" s="1"/>
      <c r="AV59" s="1"/>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row>
    <row r="60" spans="1:114" x14ac:dyDescent="0.25">
      <c r="A60" s="3"/>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7"/>
      <c r="AE60" s="7"/>
      <c r="AF60" s="4"/>
      <c r="AG60" s="4"/>
      <c r="AH60" s="4"/>
      <c r="AI60" s="4"/>
      <c r="AJ60" s="4"/>
      <c r="AK60" s="4"/>
      <c r="AL60" s="4"/>
      <c r="AM60" s="1"/>
      <c r="AN60" s="1"/>
      <c r="AO60" s="1"/>
      <c r="AP60" s="1"/>
      <c r="AQ60" s="1"/>
      <c r="AR60" s="1"/>
      <c r="AS60" s="1"/>
      <c r="AT60" s="1"/>
      <c r="AU60" s="1"/>
      <c r="AV60" s="1"/>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row>
    <row r="61" spans="1:114" x14ac:dyDescent="0.25">
      <c r="A61" s="3"/>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7"/>
      <c r="AE61" s="7"/>
      <c r="AF61" s="4"/>
      <c r="AG61" s="4"/>
      <c r="AH61" s="4"/>
      <c r="AI61" s="4"/>
      <c r="AJ61" s="4"/>
      <c r="AK61" s="4"/>
      <c r="AL61" s="4"/>
      <c r="AM61" s="1"/>
      <c r="AN61" s="1"/>
      <c r="AO61" s="1"/>
      <c r="AP61" s="1"/>
      <c r="AQ61" s="1"/>
      <c r="AR61" s="1"/>
      <c r="AS61" s="1"/>
      <c r="AT61" s="1"/>
      <c r="AU61" s="1"/>
      <c r="AV61" s="1"/>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row>
    <row r="62" spans="1:114" x14ac:dyDescent="0.25">
      <c r="A62" s="3"/>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7"/>
      <c r="AE62" s="7"/>
      <c r="AF62" s="4"/>
      <c r="AG62" s="4"/>
      <c r="AH62" s="4"/>
      <c r="AI62" s="4"/>
      <c r="AJ62" s="4"/>
      <c r="AK62" s="4"/>
      <c r="AL62" s="4"/>
      <c r="AM62" s="1"/>
      <c r="AN62" s="1"/>
      <c r="AO62" s="1"/>
      <c r="AP62" s="1"/>
      <c r="AQ62" s="1"/>
      <c r="AR62" s="1"/>
      <c r="AS62" s="1"/>
      <c r="AT62" s="1"/>
      <c r="AU62" s="1"/>
      <c r="AV62" s="1"/>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row>
    <row r="63" spans="1:114" x14ac:dyDescent="0.25">
      <c r="A63" s="3"/>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7"/>
      <c r="AE63" s="7"/>
      <c r="AF63" s="4"/>
      <c r="AG63" s="4"/>
      <c r="AH63" s="4"/>
      <c r="AI63" s="4"/>
      <c r="AJ63" s="4"/>
      <c r="AK63" s="4"/>
      <c r="AL63" s="4"/>
      <c r="AM63" s="1"/>
      <c r="AN63" s="1"/>
      <c r="AO63" s="1"/>
      <c r="AP63" s="1"/>
      <c r="AQ63" s="1"/>
      <c r="AR63" s="1"/>
      <c r="AS63" s="1"/>
      <c r="AT63" s="1"/>
      <c r="AU63" s="1"/>
      <c r="AV63" s="1"/>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row>
    <row r="64" spans="1:114" x14ac:dyDescent="0.25">
      <c r="A64" s="3"/>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7"/>
      <c r="AE64" s="7"/>
      <c r="AF64" s="4"/>
      <c r="AG64" s="4"/>
      <c r="AH64" s="4"/>
      <c r="AI64" s="4"/>
      <c r="AJ64" s="4"/>
      <c r="AK64" s="4"/>
      <c r="AL64" s="4"/>
      <c r="AM64" s="1"/>
      <c r="AN64" s="1"/>
      <c r="AO64" s="1"/>
      <c r="AP64" s="1"/>
      <c r="AQ64" s="1"/>
      <c r="AR64" s="1"/>
      <c r="AS64" s="1"/>
      <c r="AT64" s="1"/>
      <c r="AU64" s="1"/>
      <c r="AV64" s="1"/>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row>
    <row r="65" spans="1:114" x14ac:dyDescent="0.25">
      <c r="A65" s="3"/>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7"/>
      <c r="AE65" s="7"/>
      <c r="AF65" s="4"/>
      <c r="AG65" s="4"/>
      <c r="AH65" s="4"/>
      <c r="AI65" s="4"/>
      <c r="AJ65" s="4"/>
      <c r="AK65" s="4"/>
      <c r="AL65" s="4"/>
      <c r="AM65" s="1"/>
      <c r="AN65" s="1"/>
      <c r="AO65" s="1"/>
      <c r="AP65" s="1"/>
      <c r="AQ65" s="1"/>
      <c r="AR65" s="1"/>
      <c r="AS65" s="1"/>
      <c r="AT65" s="1"/>
      <c r="AU65" s="1"/>
      <c r="AV65" s="1"/>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row>
    <row r="66" spans="1:114" x14ac:dyDescent="0.25">
      <c r="A66" s="3"/>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7"/>
      <c r="AE66" s="7"/>
      <c r="AF66" s="4"/>
      <c r="AG66" s="4"/>
      <c r="AH66" s="4"/>
      <c r="AI66" s="4"/>
      <c r="AJ66" s="4"/>
      <c r="AK66" s="4"/>
      <c r="AL66" s="4"/>
      <c r="AM66" s="1"/>
      <c r="AN66" s="1"/>
      <c r="AO66" s="1"/>
      <c r="AP66" s="1"/>
      <c r="AQ66" s="1"/>
      <c r="AR66" s="1"/>
      <c r="AS66" s="1"/>
      <c r="AT66" s="1"/>
      <c r="AU66" s="1"/>
      <c r="AV66" s="1"/>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row>
    <row r="67" spans="1:114" x14ac:dyDescent="0.25">
      <c r="A67" s="3"/>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7"/>
      <c r="AE67" s="7"/>
      <c r="AF67" s="4"/>
      <c r="AG67" s="4"/>
      <c r="AH67" s="4"/>
      <c r="AI67" s="4"/>
      <c r="AJ67" s="4"/>
      <c r="AK67" s="4"/>
      <c r="AL67" s="4"/>
      <c r="AM67" s="1"/>
      <c r="AN67" s="1"/>
      <c r="AO67" s="1"/>
      <c r="AP67" s="1"/>
      <c r="AQ67" s="1"/>
      <c r="AR67" s="1"/>
      <c r="AS67" s="1"/>
      <c r="AT67" s="1"/>
      <c r="AU67" s="1"/>
      <c r="AV67" s="1"/>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row>
    <row r="68" spans="1:114" x14ac:dyDescent="0.25">
      <c r="A68" s="3"/>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7"/>
      <c r="AE68" s="7"/>
      <c r="AF68" s="4"/>
      <c r="AG68" s="4"/>
      <c r="AH68" s="4"/>
      <c r="AI68" s="4"/>
      <c r="AJ68" s="4"/>
      <c r="AK68" s="4"/>
      <c r="AL68" s="4"/>
      <c r="AM68" s="1"/>
      <c r="AN68" s="1"/>
      <c r="AO68" s="1"/>
      <c r="AP68" s="1"/>
      <c r="AQ68" s="1"/>
      <c r="AR68" s="1"/>
      <c r="AS68" s="1"/>
      <c r="AT68" s="1"/>
      <c r="AU68" s="1"/>
      <c r="AV68" s="1"/>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row>
    <row r="69" spans="1:114" x14ac:dyDescent="0.25">
      <c r="A69" s="3"/>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7"/>
      <c r="AE69" s="7"/>
      <c r="AF69" s="4"/>
      <c r="AG69" s="4"/>
      <c r="AH69" s="4"/>
      <c r="AI69" s="4"/>
      <c r="AJ69" s="4"/>
      <c r="AK69" s="4"/>
      <c r="AL69" s="4"/>
      <c r="AM69" s="1"/>
      <c r="AN69" s="1"/>
      <c r="AO69" s="1"/>
      <c r="AP69" s="1"/>
      <c r="AQ69" s="1"/>
      <c r="AR69" s="1"/>
      <c r="AS69" s="1"/>
      <c r="AT69" s="1"/>
      <c r="AU69" s="1"/>
      <c r="AV69" s="1"/>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row>
    <row r="70" spans="1:114" x14ac:dyDescent="0.25">
      <c r="A70" s="3"/>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7"/>
      <c r="AE70" s="7"/>
      <c r="AF70" s="4"/>
      <c r="AG70" s="4"/>
      <c r="AH70" s="4"/>
      <c r="AI70" s="4"/>
      <c r="AJ70" s="4"/>
      <c r="AK70" s="4"/>
      <c r="AL70" s="4"/>
      <c r="AM70" s="1"/>
      <c r="AN70" s="1"/>
      <c r="AO70" s="1"/>
      <c r="AP70" s="1"/>
      <c r="AQ70" s="1"/>
      <c r="AR70" s="1"/>
      <c r="AS70" s="1"/>
      <c r="AT70" s="1"/>
      <c r="AU70" s="1"/>
      <c r="AV70" s="1"/>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row>
    <row r="71" spans="1:114" x14ac:dyDescent="0.25">
      <c r="A71" s="3"/>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7"/>
      <c r="AE71" s="7"/>
      <c r="AF71" s="4"/>
      <c r="AG71" s="4"/>
      <c r="AH71" s="4"/>
      <c r="AI71" s="4"/>
      <c r="AJ71" s="4"/>
      <c r="AK71" s="4"/>
      <c r="AL71" s="4"/>
      <c r="AM71" s="1"/>
      <c r="AN71" s="1"/>
      <c r="AO71" s="1"/>
      <c r="AP71" s="1"/>
      <c r="AQ71" s="1"/>
      <c r="AR71" s="1"/>
      <c r="AS71" s="1"/>
      <c r="AT71" s="1"/>
      <c r="AU71" s="1"/>
      <c r="AV71" s="1"/>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row>
    <row r="72" spans="1:114" x14ac:dyDescent="0.25">
      <c r="A72" s="3"/>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7"/>
      <c r="AE72" s="7"/>
      <c r="AF72" s="4"/>
      <c r="AG72" s="4"/>
      <c r="AH72" s="4"/>
      <c r="AI72" s="4"/>
      <c r="AJ72" s="4"/>
      <c r="AK72" s="4"/>
      <c r="AL72" s="4"/>
      <c r="AM72" s="1"/>
      <c r="AN72" s="1"/>
      <c r="AO72" s="1"/>
      <c r="AP72" s="1"/>
      <c r="AQ72" s="1"/>
      <c r="AR72" s="1"/>
      <c r="AS72" s="1"/>
      <c r="AT72" s="1"/>
      <c r="AU72" s="1"/>
      <c r="AV72" s="1"/>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row>
    <row r="73" spans="1:114" x14ac:dyDescent="0.25">
      <c r="A73" s="3"/>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7"/>
      <c r="AE73" s="7"/>
      <c r="AF73" s="4"/>
      <c r="AG73" s="4"/>
      <c r="AH73" s="4"/>
      <c r="AI73" s="4"/>
      <c r="AJ73" s="4"/>
      <c r="AK73" s="4"/>
      <c r="AL73" s="4"/>
      <c r="AM73" s="1"/>
      <c r="AN73" s="1"/>
      <c r="AO73" s="1"/>
      <c r="AP73" s="1"/>
      <c r="AQ73" s="1"/>
      <c r="AR73" s="1"/>
      <c r="AS73" s="1"/>
      <c r="AT73" s="1"/>
      <c r="AU73" s="1"/>
      <c r="AV73" s="1"/>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row>
    <row r="74" spans="1:114" x14ac:dyDescent="0.25">
      <c r="A74" s="3"/>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7"/>
      <c r="AE74" s="7"/>
      <c r="AF74" s="4"/>
      <c r="AG74" s="4"/>
      <c r="AH74" s="4"/>
      <c r="AI74" s="4"/>
      <c r="AJ74" s="4"/>
      <c r="AK74" s="4"/>
      <c r="AL74" s="4"/>
      <c r="AM74" s="1"/>
      <c r="AN74" s="1"/>
      <c r="AO74" s="1"/>
      <c r="AP74" s="1"/>
      <c r="AQ74" s="1"/>
      <c r="AR74" s="1"/>
      <c r="AS74" s="1"/>
      <c r="AT74" s="1"/>
      <c r="AU74" s="1"/>
      <c r="AV74" s="1"/>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row>
    <row r="75" spans="1:114" x14ac:dyDescent="0.25">
      <c r="A75" s="3"/>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7"/>
      <c r="AE75" s="7"/>
      <c r="AF75" s="4"/>
      <c r="AG75" s="4"/>
      <c r="AH75" s="4"/>
      <c r="AI75" s="4"/>
      <c r="AJ75" s="4"/>
      <c r="AK75" s="4"/>
      <c r="AL75" s="4"/>
      <c r="AM75" s="1"/>
      <c r="AN75" s="1"/>
      <c r="AO75" s="1"/>
      <c r="AP75" s="1"/>
      <c r="AQ75" s="1"/>
      <c r="AR75" s="1"/>
      <c r="AS75" s="1"/>
      <c r="AT75" s="1"/>
      <c r="AU75" s="1"/>
      <c r="AV75" s="1"/>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row>
    <row r="76" spans="1:114" x14ac:dyDescent="0.25">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7"/>
      <c r="AE76" s="7"/>
      <c r="AF76" s="4"/>
      <c r="AG76" s="4"/>
      <c r="AH76" s="4"/>
      <c r="AI76" s="4"/>
      <c r="AJ76" s="4"/>
      <c r="AK76" s="4"/>
      <c r="AL76" s="4"/>
      <c r="AM76" s="1"/>
      <c r="AN76" s="1"/>
      <c r="AO76" s="1"/>
      <c r="AP76" s="1"/>
      <c r="AQ76" s="1"/>
      <c r="AR76" s="1"/>
      <c r="AS76" s="1"/>
      <c r="AT76" s="1"/>
      <c r="AU76" s="1"/>
      <c r="AV76" s="1"/>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row>
    <row r="77" spans="1:114" x14ac:dyDescent="0.25">
      <c r="A77" s="3"/>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7"/>
      <c r="AE77" s="7"/>
      <c r="AF77" s="4"/>
      <c r="AG77" s="4"/>
      <c r="AH77" s="4"/>
      <c r="AI77" s="4"/>
      <c r="AJ77" s="4"/>
      <c r="AK77" s="4"/>
      <c r="AL77" s="4"/>
      <c r="AM77" s="1"/>
      <c r="AN77" s="1"/>
      <c r="AO77" s="1"/>
      <c r="AP77" s="1"/>
      <c r="AQ77" s="1"/>
      <c r="AR77" s="1"/>
      <c r="AS77" s="1"/>
      <c r="AT77" s="1"/>
      <c r="AU77" s="1"/>
      <c r="AV77" s="1"/>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row>
    <row r="78" spans="1:114" x14ac:dyDescent="0.25">
      <c r="A78" s="3"/>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7"/>
      <c r="AE78" s="7"/>
      <c r="AF78" s="4"/>
      <c r="AG78" s="4"/>
      <c r="AH78" s="4"/>
      <c r="AI78" s="4"/>
      <c r="AJ78" s="4"/>
      <c r="AK78" s="4"/>
      <c r="AL78" s="4"/>
      <c r="AM78" s="1"/>
      <c r="AN78" s="1"/>
      <c r="AO78" s="1"/>
      <c r="AP78" s="1"/>
      <c r="AQ78" s="1"/>
      <c r="AR78" s="1"/>
      <c r="AS78" s="1"/>
      <c r="AT78" s="1"/>
      <c r="AU78" s="1"/>
      <c r="AV78" s="1"/>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row>
    <row r="79" spans="1:114" x14ac:dyDescent="0.25">
      <c r="A79" s="3"/>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7"/>
      <c r="AE79" s="7"/>
      <c r="AF79" s="4"/>
      <c r="AG79" s="4"/>
      <c r="AH79" s="4"/>
      <c r="AI79" s="4"/>
      <c r="AJ79" s="4"/>
      <c r="AK79" s="4"/>
      <c r="AL79" s="4"/>
      <c r="AM79" s="1"/>
      <c r="AN79" s="1"/>
      <c r="AO79" s="1"/>
      <c r="AP79" s="1"/>
      <c r="AQ79" s="1"/>
      <c r="AR79" s="1"/>
      <c r="AS79" s="1"/>
      <c r="AT79" s="1"/>
      <c r="AU79" s="1"/>
      <c r="AV79" s="1"/>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row>
    <row r="80" spans="1:114" x14ac:dyDescent="0.25">
      <c r="A80" s="3"/>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7"/>
      <c r="AE80" s="7"/>
      <c r="AF80" s="4"/>
      <c r="AG80" s="4"/>
      <c r="AH80" s="4"/>
      <c r="AI80" s="4"/>
      <c r="AJ80" s="4"/>
      <c r="AK80" s="4"/>
      <c r="AL80" s="4"/>
      <c r="AM80" s="1"/>
      <c r="AN80" s="1"/>
      <c r="AO80" s="1"/>
      <c r="AP80" s="1"/>
      <c r="AQ80" s="1"/>
      <c r="AR80" s="1"/>
      <c r="AS80" s="1"/>
      <c r="AT80" s="1"/>
      <c r="AU80" s="1"/>
      <c r="AV80" s="1"/>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row>
    <row r="81" spans="1:114" x14ac:dyDescent="0.25">
      <c r="A81" s="3"/>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7"/>
      <c r="AE81" s="7"/>
      <c r="AF81" s="4"/>
      <c r="AG81" s="4"/>
      <c r="AH81" s="4"/>
      <c r="AI81" s="4"/>
      <c r="AJ81" s="4"/>
      <c r="AK81" s="4"/>
      <c r="AL81" s="4"/>
      <c r="AM81" s="1"/>
      <c r="AN81" s="1"/>
      <c r="AO81" s="1"/>
      <c r="AP81" s="1"/>
      <c r="AQ81" s="1"/>
      <c r="AR81" s="1"/>
      <c r="AS81" s="1"/>
      <c r="AT81" s="1"/>
      <c r="AU81" s="1"/>
      <c r="AV81" s="1"/>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row>
    <row r="82" spans="1:114" x14ac:dyDescent="0.25">
      <c r="A82" s="3"/>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7"/>
      <c r="AE82" s="7"/>
      <c r="AF82" s="4"/>
      <c r="AG82" s="4"/>
      <c r="AH82" s="4"/>
      <c r="AI82" s="4"/>
      <c r="AJ82" s="4"/>
      <c r="AK82" s="4"/>
      <c r="AL82" s="4"/>
      <c r="AM82" s="1"/>
      <c r="AN82" s="1"/>
      <c r="AO82" s="1"/>
      <c r="AP82" s="1"/>
      <c r="AQ82" s="1"/>
      <c r="AR82" s="1"/>
      <c r="AS82" s="1"/>
      <c r="AT82" s="1"/>
      <c r="AU82" s="1"/>
      <c r="AV82" s="1"/>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row>
    <row r="83" spans="1:114" x14ac:dyDescent="0.25">
      <c r="A83" s="3"/>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7"/>
      <c r="AE83" s="7"/>
      <c r="AF83" s="4"/>
      <c r="AG83" s="4"/>
      <c r="AH83" s="4"/>
      <c r="AI83" s="4"/>
      <c r="AJ83" s="4"/>
      <c r="AK83" s="4"/>
      <c r="AL83" s="4"/>
      <c r="AM83" s="1"/>
      <c r="AN83" s="1"/>
      <c r="AO83" s="1"/>
      <c r="AP83" s="1"/>
      <c r="AQ83" s="1"/>
      <c r="AR83" s="1"/>
      <c r="AS83" s="1"/>
      <c r="AT83" s="1"/>
      <c r="AU83" s="1"/>
      <c r="AV83" s="1"/>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row>
    <row r="84" spans="1:114" x14ac:dyDescent="0.25">
      <c r="A84" s="3"/>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7"/>
      <c r="AE84" s="7"/>
      <c r="AF84" s="4"/>
      <c r="AG84" s="4"/>
      <c r="AH84" s="4"/>
      <c r="AI84" s="4"/>
      <c r="AJ84" s="4"/>
      <c r="AK84" s="4"/>
      <c r="AL84" s="4"/>
      <c r="AM84" s="1"/>
      <c r="AN84" s="1"/>
      <c r="AO84" s="1"/>
      <c r="AP84" s="1"/>
      <c r="AQ84" s="1"/>
      <c r="AR84" s="1"/>
      <c r="AS84" s="1"/>
      <c r="AT84" s="1"/>
      <c r="AU84" s="1"/>
      <c r="AV84" s="1"/>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row>
    <row r="85" spans="1:114" x14ac:dyDescent="0.25">
      <c r="A85" s="3"/>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7"/>
      <c r="AE85" s="7"/>
      <c r="AF85" s="4"/>
      <c r="AG85" s="4"/>
      <c r="AH85" s="4"/>
      <c r="AI85" s="4"/>
      <c r="AJ85" s="4"/>
      <c r="AK85" s="4"/>
      <c r="AL85" s="4"/>
      <c r="AM85" s="1"/>
      <c r="AN85" s="1"/>
      <c r="AO85" s="1"/>
      <c r="AP85" s="1"/>
      <c r="AQ85" s="1"/>
      <c r="AR85" s="1"/>
      <c r="AS85" s="1"/>
      <c r="AT85" s="1"/>
      <c r="AU85" s="1"/>
      <c r="AV85" s="1"/>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row>
    <row r="86" spans="1:114" x14ac:dyDescent="0.25">
      <c r="A86" s="3"/>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7"/>
      <c r="AE86" s="7"/>
      <c r="AF86" s="4"/>
      <c r="AG86" s="4"/>
      <c r="AH86" s="4"/>
      <c r="AI86" s="4"/>
      <c r="AJ86" s="4"/>
      <c r="AK86" s="4"/>
      <c r="AL86" s="4"/>
      <c r="AM86" s="1"/>
      <c r="AN86" s="1"/>
      <c r="AO86" s="1"/>
      <c r="AP86" s="1"/>
      <c r="AQ86" s="1"/>
      <c r="AR86" s="1"/>
      <c r="AS86" s="1"/>
      <c r="AT86" s="1"/>
      <c r="AU86" s="1"/>
      <c r="AV86" s="1"/>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row>
    <row r="87" spans="1:114" x14ac:dyDescent="0.25">
      <c r="A87" s="3"/>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7"/>
      <c r="AE87" s="7"/>
      <c r="AF87" s="4"/>
      <c r="AG87" s="4"/>
      <c r="AH87" s="4"/>
      <c r="AI87" s="4"/>
      <c r="AJ87" s="4"/>
      <c r="AK87" s="4"/>
      <c r="AL87" s="4"/>
      <c r="AM87" s="1"/>
      <c r="AN87" s="1"/>
      <c r="AO87" s="1"/>
      <c r="AP87" s="1"/>
      <c r="AQ87" s="1"/>
      <c r="AR87" s="1"/>
      <c r="AS87" s="1"/>
      <c r="AT87" s="1"/>
      <c r="AU87" s="1"/>
      <c r="AV87" s="1"/>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row>
    <row r="88" spans="1:114" x14ac:dyDescent="0.25">
      <c r="A88" s="3"/>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7"/>
      <c r="AE88" s="7"/>
      <c r="AF88" s="4"/>
      <c r="AG88" s="4"/>
      <c r="AH88" s="4"/>
      <c r="AI88" s="4"/>
      <c r="AJ88" s="4"/>
      <c r="AK88" s="4"/>
      <c r="AL88" s="4"/>
      <c r="AM88" s="1"/>
      <c r="AN88" s="1"/>
      <c r="AO88" s="1"/>
      <c r="AP88" s="1"/>
      <c r="AQ88" s="1"/>
      <c r="AR88" s="1"/>
      <c r="AS88" s="1"/>
      <c r="AT88" s="1"/>
      <c r="AU88" s="1"/>
      <c r="AV88" s="1"/>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row>
    <row r="89" spans="1:114" x14ac:dyDescent="0.25">
      <c r="A89" s="3"/>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7"/>
      <c r="AE89" s="7"/>
      <c r="AF89" s="4"/>
      <c r="AG89" s="4"/>
      <c r="AH89" s="4"/>
      <c r="AI89" s="4"/>
      <c r="AJ89" s="4"/>
      <c r="AK89" s="4"/>
      <c r="AL89" s="4"/>
      <c r="AM89" s="1"/>
      <c r="AN89" s="1"/>
      <c r="AO89" s="1"/>
      <c r="AP89" s="1"/>
      <c r="AQ89" s="1"/>
      <c r="AR89" s="1"/>
      <c r="AS89" s="1"/>
      <c r="AT89" s="1"/>
      <c r="AU89" s="1"/>
      <c r="AV89" s="1"/>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c r="DI89" s="5"/>
      <c r="DJ89" s="5"/>
    </row>
    <row r="90" spans="1:114" x14ac:dyDescent="0.25">
      <c r="A90" s="3"/>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7"/>
      <c r="AE90" s="7"/>
      <c r="AF90" s="4"/>
      <c r="AG90" s="4"/>
      <c r="AH90" s="4"/>
      <c r="AI90" s="4"/>
      <c r="AJ90" s="4"/>
      <c r="AK90" s="4"/>
      <c r="AL90" s="4"/>
      <c r="AM90" s="1"/>
      <c r="AN90" s="1"/>
      <c r="AO90" s="1"/>
      <c r="AP90" s="1"/>
      <c r="AQ90" s="1"/>
      <c r="AR90" s="1"/>
      <c r="AS90" s="1"/>
      <c r="AT90" s="1"/>
      <c r="AU90" s="1"/>
      <c r="AV90" s="1"/>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row>
    <row r="91" spans="1:114" x14ac:dyDescent="0.25">
      <c r="A91" s="3"/>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7"/>
      <c r="AE91" s="7"/>
      <c r="AF91" s="4"/>
      <c r="AG91" s="4"/>
      <c r="AH91" s="4"/>
      <c r="AI91" s="4"/>
      <c r="AJ91" s="4"/>
      <c r="AK91" s="4"/>
      <c r="AL91" s="4"/>
      <c r="AM91" s="1"/>
      <c r="AN91" s="1"/>
      <c r="AO91" s="1"/>
      <c r="AP91" s="1"/>
      <c r="AQ91" s="1"/>
      <c r="AR91" s="1"/>
      <c r="AS91" s="1"/>
      <c r="AT91" s="1"/>
      <c r="AU91" s="1"/>
      <c r="AV91" s="1"/>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row>
    <row r="92" spans="1:114" x14ac:dyDescent="0.25">
      <c r="A92" s="3"/>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7"/>
      <c r="AE92" s="7"/>
      <c r="AF92" s="4"/>
      <c r="AG92" s="4"/>
      <c r="AH92" s="4"/>
      <c r="AI92" s="4"/>
      <c r="AJ92" s="4"/>
      <c r="AK92" s="4"/>
      <c r="AL92" s="4"/>
      <c r="AM92" s="1"/>
      <c r="AN92" s="1"/>
      <c r="AO92" s="1"/>
      <c r="AP92" s="1"/>
      <c r="AQ92" s="1"/>
      <c r="AR92" s="1"/>
      <c r="AS92" s="1"/>
      <c r="AT92" s="1"/>
      <c r="AU92" s="1"/>
      <c r="AV92" s="1"/>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c r="DI92" s="5"/>
      <c r="DJ92" s="5"/>
    </row>
    <row r="93" spans="1:114" x14ac:dyDescent="0.25">
      <c r="A93" s="3"/>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7"/>
      <c r="AE93" s="7"/>
      <c r="AF93" s="4"/>
      <c r="AG93" s="4"/>
      <c r="AH93" s="4"/>
      <c r="AI93" s="4"/>
      <c r="AJ93" s="4"/>
      <c r="AK93" s="4"/>
      <c r="AL93" s="4"/>
      <c r="AM93" s="1"/>
      <c r="AN93" s="1"/>
      <c r="AO93" s="1"/>
      <c r="AP93" s="1"/>
      <c r="AQ93" s="1"/>
      <c r="AR93" s="1"/>
      <c r="AS93" s="1"/>
      <c r="AT93" s="1"/>
      <c r="AU93" s="1"/>
      <c r="AV93" s="1"/>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c r="DI93" s="5"/>
      <c r="DJ93" s="5"/>
    </row>
    <row r="94" spans="1:114" x14ac:dyDescent="0.25">
      <c r="A94" s="3"/>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7"/>
      <c r="AE94" s="7"/>
      <c r="AF94" s="4"/>
      <c r="AG94" s="4"/>
      <c r="AH94" s="4"/>
      <c r="AI94" s="4"/>
      <c r="AJ94" s="4"/>
      <c r="AK94" s="4"/>
      <c r="AL94" s="4"/>
      <c r="AM94" s="1"/>
      <c r="AN94" s="1"/>
      <c r="AO94" s="1"/>
      <c r="AP94" s="1"/>
      <c r="AQ94" s="1"/>
      <c r="AR94" s="1"/>
      <c r="AS94" s="1"/>
      <c r="AT94" s="1"/>
      <c r="AU94" s="1"/>
      <c r="AV94" s="1"/>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row>
    <row r="95" spans="1:114" x14ac:dyDescent="0.25">
      <c r="A95" s="3"/>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7"/>
      <c r="AE95" s="7"/>
      <c r="AF95" s="4"/>
      <c r="AG95" s="4"/>
      <c r="AH95" s="4"/>
      <c r="AI95" s="4"/>
      <c r="AJ95" s="4"/>
      <c r="AK95" s="4"/>
      <c r="AL95" s="4"/>
      <c r="AM95" s="1"/>
      <c r="AN95" s="1"/>
      <c r="AO95" s="1"/>
      <c r="AP95" s="1"/>
      <c r="AQ95" s="1"/>
      <c r="AR95" s="1"/>
      <c r="AS95" s="1"/>
      <c r="AT95" s="1"/>
      <c r="AU95" s="1"/>
      <c r="AV95" s="1"/>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row>
    <row r="96" spans="1:114" x14ac:dyDescent="0.25">
      <c r="A96" s="3"/>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7"/>
      <c r="AE96" s="7"/>
      <c r="AF96" s="4"/>
      <c r="AG96" s="4"/>
      <c r="AH96" s="4"/>
      <c r="AI96" s="4"/>
      <c r="AJ96" s="4"/>
      <c r="AK96" s="4"/>
      <c r="AL96" s="4"/>
      <c r="AM96" s="1"/>
      <c r="AN96" s="1"/>
      <c r="AO96" s="1"/>
      <c r="AP96" s="1"/>
      <c r="AQ96" s="1"/>
      <c r="AR96" s="1"/>
      <c r="AS96" s="1"/>
      <c r="AT96" s="1"/>
      <c r="AU96" s="1"/>
      <c r="AV96" s="1"/>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c r="DI96" s="5"/>
      <c r="DJ96" s="5"/>
    </row>
    <row r="97" spans="1:114" x14ac:dyDescent="0.25">
      <c r="A97" s="5"/>
      <c r="B97" s="1"/>
      <c r="C97" s="1"/>
      <c r="D97" s="4"/>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4"/>
      <c r="AG97" s="4"/>
      <c r="AH97" s="4"/>
      <c r="AI97" s="4"/>
      <c r="AJ97" s="4"/>
      <c r="AK97" s="4"/>
      <c r="AL97" s="4"/>
      <c r="AM97" s="1"/>
      <c r="AN97" s="1"/>
      <c r="AO97" s="1"/>
      <c r="AP97" s="1"/>
      <c r="AQ97" s="1"/>
      <c r="AR97" s="1"/>
      <c r="AS97" s="1"/>
      <c r="AT97" s="1"/>
      <c r="AU97" s="1"/>
      <c r="AV97" s="1"/>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c r="DI97" s="5"/>
      <c r="DJ97" s="5"/>
    </row>
    <row r="98" spans="1:114" x14ac:dyDescent="0.25">
      <c r="A98" s="5"/>
      <c r="B98" s="1"/>
      <c r="C98" s="1"/>
      <c r="D98" s="4"/>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4"/>
      <c r="AG98" s="4"/>
      <c r="AH98" s="4"/>
      <c r="AI98" s="4"/>
      <c r="AJ98" s="4"/>
      <c r="AK98" s="4"/>
      <c r="AL98" s="4"/>
      <c r="AM98" s="1"/>
      <c r="AN98" s="1"/>
      <c r="AO98" s="1"/>
      <c r="AP98" s="1"/>
      <c r="AQ98" s="1"/>
      <c r="AR98" s="1"/>
      <c r="AS98" s="1"/>
      <c r="AT98" s="1"/>
      <c r="AU98" s="1"/>
      <c r="AV98" s="1"/>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c r="DI98" s="5"/>
      <c r="DJ98" s="5"/>
    </row>
    <row r="99" spans="1:114" x14ac:dyDescent="0.25">
      <c r="A99" s="5"/>
      <c r="B99" s="1"/>
      <c r="C99" s="1"/>
      <c r="D99" s="4"/>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4"/>
      <c r="AG99" s="4"/>
      <c r="AH99" s="4"/>
      <c r="AI99" s="4"/>
      <c r="AJ99" s="4"/>
      <c r="AK99" s="4"/>
      <c r="AL99" s="4"/>
      <c r="AM99" s="1"/>
      <c r="AN99" s="1"/>
      <c r="AO99" s="1"/>
      <c r="AP99" s="1"/>
      <c r="AQ99" s="1"/>
      <c r="AR99" s="1"/>
      <c r="AS99" s="1"/>
      <c r="AT99" s="1"/>
      <c r="AU99" s="1"/>
      <c r="AV99" s="1"/>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c r="DI99" s="5"/>
      <c r="DJ99" s="5"/>
    </row>
    <row r="100" spans="1:114" x14ac:dyDescent="0.25">
      <c r="A100" s="5"/>
      <c r="B100" s="1"/>
      <c r="C100" s="1"/>
      <c r="D100" s="4"/>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4"/>
      <c r="AG100" s="4"/>
      <c r="AH100" s="4"/>
      <c r="AI100" s="4"/>
      <c r="AJ100" s="4"/>
      <c r="AK100" s="4"/>
      <c r="AL100" s="4"/>
      <c r="AM100" s="1"/>
      <c r="AN100" s="1"/>
      <c r="AO100" s="1"/>
      <c r="AP100" s="1"/>
      <c r="AQ100" s="1"/>
      <c r="AR100" s="1"/>
      <c r="AS100" s="1"/>
      <c r="AT100" s="1"/>
      <c r="AU100" s="1"/>
      <c r="AV100" s="1"/>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row>
    <row r="101" spans="1:114" x14ac:dyDescent="0.25">
      <c r="A101" s="5"/>
      <c r="B101" s="1"/>
      <c r="C101" s="1"/>
      <c r="D101" s="4"/>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4"/>
      <c r="AG101" s="4"/>
      <c r="AH101" s="4"/>
      <c r="AI101" s="4"/>
      <c r="AJ101" s="4"/>
      <c r="AK101" s="4"/>
      <c r="AL101" s="4"/>
      <c r="AM101" s="1"/>
      <c r="AN101" s="1"/>
      <c r="AO101" s="1"/>
      <c r="AP101" s="1"/>
      <c r="AQ101" s="1"/>
      <c r="AR101" s="1"/>
      <c r="AS101" s="1"/>
      <c r="AT101" s="1"/>
      <c r="AU101" s="1"/>
      <c r="AV101" s="1"/>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c r="DI101" s="5"/>
      <c r="DJ101" s="5"/>
    </row>
    <row r="102" spans="1:114" x14ac:dyDescent="0.25">
      <c r="A102" s="5"/>
      <c r="B102" s="1"/>
      <c r="C102" s="1"/>
      <c r="D102" s="4"/>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4"/>
      <c r="AG102" s="4"/>
      <c r="AH102" s="4"/>
      <c r="AI102" s="4"/>
      <c r="AJ102" s="4"/>
      <c r="AK102" s="4"/>
      <c r="AL102" s="4"/>
      <c r="AM102" s="1"/>
      <c r="AN102" s="1"/>
      <c r="AO102" s="1"/>
      <c r="AP102" s="1"/>
      <c r="AQ102" s="1"/>
      <c r="AR102" s="1"/>
      <c r="AS102" s="1"/>
      <c r="AT102" s="1"/>
      <c r="AU102" s="1"/>
      <c r="AV102" s="1"/>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row>
    <row r="103" spans="1:114" x14ac:dyDescent="0.25">
      <c r="A103" s="5"/>
      <c r="B103" s="1"/>
      <c r="C103" s="1"/>
      <c r="D103" s="4"/>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4"/>
      <c r="AG103" s="4"/>
      <c r="AH103" s="4"/>
      <c r="AI103" s="4"/>
      <c r="AJ103" s="4"/>
      <c r="AK103" s="4"/>
      <c r="AL103" s="4"/>
      <c r="AM103" s="1"/>
      <c r="AN103" s="1"/>
      <c r="AO103" s="1"/>
      <c r="AP103" s="1"/>
      <c r="AQ103" s="1"/>
      <c r="AR103" s="1"/>
      <c r="AS103" s="1"/>
      <c r="AT103" s="1"/>
      <c r="AU103" s="1"/>
      <c r="AV103" s="1"/>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5"/>
      <c r="DG103" s="5"/>
      <c r="DH103" s="5"/>
      <c r="DI103" s="5"/>
      <c r="DJ103" s="5"/>
    </row>
    <row r="104" spans="1:114" x14ac:dyDescent="0.25">
      <c r="A104" s="5"/>
      <c r="B104" s="1"/>
      <c r="C104" s="1"/>
      <c r="D104" s="4"/>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4"/>
      <c r="AG104" s="4"/>
      <c r="AH104" s="4"/>
      <c r="AI104" s="4"/>
      <c r="AJ104" s="4"/>
      <c r="AK104" s="4"/>
      <c r="AL104" s="4"/>
      <c r="AM104" s="1"/>
      <c r="AN104" s="1"/>
      <c r="AO104" s="1"/>
      <c r="AP104" s="1"/>
      <c r="AQ104" s="1"/>
      <c r="AR104" s="1"/>
      <c r="AS104" s="1"/>
      <c r="AT104" s="1"/>
      <c r="AU104" s="1"/>
      <c r="AV104" s="1"/>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c r="DJ104" s="5"/>
    </row>
    <row r="105" spans="1:114" x14ac:dyDescent="0.25">
      <c r="A105" s="5"/>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4"/>
      <c r="AG105" s="4"/>
      <c r="AH105" s="4"/>
      <c r="AI105" s="4"/>
      <c r="AJ105" s="4"/>
      <c r="AK105" s="4"/>
      <c r="AL105" s="4"/>
      <c r="AM105" s="1"/>
      <c r="AN105" s="1"/>
      <c r="AO105" s="1"/>
      <c r="AP105" s="1"/>
      <c r="AQ105" s="1"/>
      <c r="AR105" s="1"/>
      <c r="AS105" s="1"/>
      <c r="AT105" s="1"/>
      <c r="AU105" s="1"/>
      <c r="AV105" s="1"/>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5"/>
      <c r="DG105" s="5"/>
      <c r="DH105" s="5"/>
      <c r="DI105" s="5"/>
      <c r="DJ105" s="5"/>
    </row>
    <row r="106" spans="1:114" x14ac:dyDescent="0.25">
      <c r="A106" s="5"/>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4"/>
      <c r="AG106" s="4"/>
      <c r="AH106" s="4"/>
      <c r="AI106" s="4"/>
      <c r="AJ106" s="4"/>
      <c r="AK106" s="4"/>
      <c r="AL106" s="4"/>
      <c r="AM106" s="1"/>
      <c r="AN106" s="1"/>
      <c r="AO106" s="1"/>
      <c r="AP106" s="1"/>
      <c r="AQ106" s="1"/>
      <c r="AR106" s="1"/>
      <c r="AS106" s="1"/>
      <c r="AT106" s="1"/>
      <c r="AU106" s="1"/>
      <c r="AV106" s="1"/>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c r="CW106" s="5"/>
      <c r="CX106" s="5"/>
      <c r="CY106" s="5"/>
      <c r="CZ106" s="5"/>
      <c r="DA106" s="5"/>
      <c r="DB106" s="5"/>
      <c r="DC106" s="5"/>
      <c r="DD106" s="5"/>
      <c r="DE106" s="5"/>
      <c r="DF106" s="5"/>
      <c r="DG106" s="5"/>
      <c r="DH106" s="5"/>
      <c r="DI106" s="5"/>
      <c r="DJ106" s="5"/>
    </row>
    <row r="107" spans="1:114" x14ac:dyDescent="0.25">
      <c r="A107" s="5"/>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4"/>
      <c r="AG107" s="4"/>
      <c r="AH107" s="4"/>
      <c r="AI107" s="4"/>
      <c r="AJ107" s="4"/>
      <c r="AK107" s="4"/>
      <c r="AL107" s="4"/>
      <c r="AM107" s="1"/>
      <c r="AN107" s="1"/>
      <c r="AO107" s="1"/>
      <c r="AP107" s="1"/>
      <c r="AQ107" s="1"/>
      <c r="AR107" s="1"/>
      <c r="AS107" s="1"/>
      <c r="AT107" s="1"/>
      <c r="AU107" s="1"/>
      <c r="AV107" s="1"/>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c r="CW107" s="5"/>
      <c r="CX107" s="5"/>
      <c r="CY107" s="5"/>
      <c r="CZ107" s="5"/>
      <c r="DA107" s="5"/>
      <c r="DB107" s="5"/>
      <c r="DC107" s="5"/>
      <c r="DD107" s="5"/>
      <c r="DE107" s="5"/>
      <c r="DF107" s="5"/>
      <c r="DG107" s="5"/>
      <c r="DH107" s="5"/>
      <c r="DI107" s="5"/>
      <c r="DJ107" s="5"/>
    </row>
    <row r="108" spans="1:114" x14ac:dyDescent="0.25">
      <c r="A108" s="5"/>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4"/>
      <c r="AG108" s="4"/>
      <c r="AH108" s="4"/>
      <c r="AI108" s="4"/>
      <c r="AJ108" s="4"/>
      <c r="AK108" s="4"/>
      <c r="AL108" s="4"/>
      <c r="AM108" s="1"/>
      <c r="AN108" s="1"/>
      <c r="AO108" s="1"/>
      <c r="AP108" s="1"/>
      <c r="AQ108" s="1"/>
      <c r="AR108" s="1"/>
      <c r="AS108" s="1"/>
      <c r="AT108" s="1"/>
      <c r="AU108" s="1"/>
      <c r="AV108" s="1"/>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c r="CW108" s="5"/>
      <c r="CX108" s="5"/>
      <c r="CY108" s="5"/>
      <c r="CZ108" s="5"/>
      <c r="DA108" s="5"/>
      <c r="DB108" s="5"/>
      <c r="DC108" s="5"/>
      <c r="DD108" s="5"/>
      <c r="DE108" s="5"/>
      <c r="DF108" s="5"/>
      <c r="DG108" s="5"/>
      <c r="DH108" s="5"/>
      <c r="DI108" s="5"/>
      <c r="DJ108" s="5"/>
    </row>
    <row r="109" spans="1:114" x14ac:dyDescent="0.25">
      <c r="A109" s="5"/>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4"/>
      <c r="AG109" s="4"/>
      <c r="AH109" s="4"/>
      <c r="AI109" s="4"/>
      <c r="AJ109" s="4"/>
      <c r="AK109" s="4"/>
      <c r="AL109" s="4"/>
      <c r="AM109" s="1"/>
      <c r="AN109" s="1"/>
      <c r="AO109" s="1"/>
      <c r="AP109" s="1"/>
      <c r="AQ109" s="1"/>
      <c r="AR109" s="1"/>
      <c r="AS109" s="1"/>
      <c r="AT109" s="1"/>
      <c r="AU109" s="1"/>
      <c r="AV109" s="1"/>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c r="CW109" s="5"/>
      <c r="CX109" s="5"/>
      <c r="CY109" s="5"/>
      <c r="CZ109" s="5"/>
      <c r="DA109" s="5"/>
      <c r="DB109" s="5"/>
      <c r="DC109" s="5"/>
      <c r="DD109" s="5"/>
      <c r="DE109" s="5"/>
      <c r="DF109" s="5"/>
      <c r="DG109" s="5"/>
      <c r="DH109" s="5"/>
      <c r="DI109" s="5"/>
      <c r="DJ109" s="5"/>
    </row>
    <row r="110" spans="1:114" x14ac:dyDescent="0.25">
      <c r="A110" s="5"/>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4"/>
      <c r="AG110" s="4"/>
      <c r="AH110" s="4"/>
      <c r="AI110" s="4"/>
      <c r="AJ110" s="4"/>
      <c r="AK110" s="4"/>
      <c r="AL110" s="4"/>
      <c r="AM110" s="1"/>
      <c r="AN110" s="1"/>
      <c r="AO110" s="1"/>
      <c r="AP110" s="1"/>
      <c r="AQ110" s="1"/>
      <c r="AR110" s="1"/>
      <c r="AS110" s="1"/>
      <c r="AT110" s="1"/>
      <c r="AU110" s="1"/>
      <c r="AV110" s="1"/>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c r="CW110" s="5"/>
      <c r="CX110" s="5"/>
      <c r="CY110" s="5"/>
      <c r="CZ110" s="5"/>
      <c r="DA110" s="5"/>
      <c r="DB110" s="5"/>
      <c r="DC110" s="5"/>
      <c r="DD110" s="5"/>
      <c r="DE110" s="5"/>
      <c r="DF110" s="5"/>
      <c r="DG110" s="5"/>
      <c r="DH110" s="5"/>
      <c r="DI110" s="5"/>
      <c r="DJ110" s="5"/>
    </row>
    <row r="111" spans="1:114" x14ac:dyDescent="0.25">
      <c r="A111" s="5"/>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4"/>
      <c r="AG111" s="4"/>
      <c r="AH111" s="4"/>
      <c r="AI111" s="4"/>
      <c r="AJ111" s="4"/>
      <c r="AK111" s="4"/>
      <c r="AL111" s="4"/>
      <c r="AM111" s="1"/>
      <c r="AN111" s="1"/>
      <c r="AO111" s="1"/>
      <c r="AP111" s="1"/>
      <c r="AQ111" s="1"/>
      <c r="AR111" s="1"/>
      <c r="AS111" s="1"/>
      <c r="AT111" s="1"/>
      <c r="AU111" s="1"/>
      <c r="AV111" s="1"/>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c r="CW111" s="5"/>
      <c r="CX111" s="5"/>
      <c r="CY111" s="5"/>
      <c r="CZ111" s="5"/>
      <c r="DA111" s="5"/>
      <c r="DB111" s="5"/>
      <c r="DC111" s="5"/>
      <c r="DD111" s="5"/>
      <c r="DE111" s="5"/>
      <c r="DF111" s="5"/>
      <c r="DG111" s="5"/>
      <c r="DH111" s="5"/>
      <c r="DI111" s="5"/>
      <c r="DJ111" s="5"/>
    </row>
    <row r="112" spans="1:114" x14ac:dyDescent="0.25">
      <c r="A112" s="5"/>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4"/>
      <c r="AG112" s="4"/>
      <c r="AH112" s="4"/>
      <c r="AI112" s="4"/>
      <c r="AJ112" s="4"/>
      <c r="AK112" s="4"/>
      <c r="AL112" s="4"/>
      <c r="AM112" s="1"/>
      <c r="AN112" s="1"/>
      <c r="AO112" s="1"/>
      <c r="AP112" s="1"/>
      <c r="AQ112" s="1"/>
      <c r="AR112" s="1"/>
      <c r="AS112" s="1"/>
      <c r="AT112" s="1"/>
      <c r="AU112" s="1"/>
      <c r="AV112" s="1"/>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c r="CW112" s="5"/>
      <c r="CX112" s="5"/>
      <c r="CY112" s="5"/>
      <c r="CZ112" s="5"/>
      <c r="DA112" s="5"/>
      <c r="DB112" s="5"/>
      <c r="DC112" s="5"/>
      <c r="DD112" s="5"/>
      <c r="DE112" s="5"/>
      <c r="DF112" s="5"/>
      <c r="DG112" s="5"/>
      <c r="DH112" s="5"/>
      <c r="DI112" s="5"/>
      <c r="DJ112" s="5"/>
    </row>
    <row r="113" spans="1:114" x14ac:dyDescent="0.25">
      <c r="A113" s="5"/>
      <c r="B113" s="5"/>
      <c r="C113" s="5"/>
      <c r="D113" s="1"/>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8"/>
      <c r="AG113" s="8"/>
      <c r="AH113" s="4"/>
      <c r="AI113" s="4"/>
      <c r="AJ113" s="8"/>
      <c r="AK113" s="8"/>
      <c r="AL113" s="8"/>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c r="CW113" s="5"/>
      <c r="CX113" s="5"/>
      <c r="CY113" s="5"/>
      <c r="CZ113" s="5"/>
      <c r="DA113" s="5"/>
      <c r="DB113" s="5"/>
      <c r="DC113" s="5"/>
      <c r="DD113" s="5"/>
      <c r="DE113" s="5"/>
      <c r="DF113" s="5"/>
      <c r="DG113" s="5"/>
      <c r="DH113" s="5"/>
      <c r="DI113" s="5"/>
      <c r="DJ113" s="5"/>
    </row>
    <row r="114" spans="1:114" x14ac:dyDescent="0.25">
      <c r="A114" s="5"/>
      <c r="B114" s="5"/>
      <c r="C114" s="5"/>
      <c r="D114" s="1"/>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8"/>
      <c r="AG114" s="8"/>
      <c r="AH114" s="4"/>
      <c r="AI114" s="4"/>
      <c r="AJ114" s="8"/>
      <c r="AK114" s="8"/>
      <c r="AL114" s="8"/>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c r="CW114" s="5"/>
      <c r="CX114" s="5"/>
      <c r="CY114" s="5"/>
      <c r="CZ114" s="5"/>
      <c r="DA114" s="5"/>
      <c r="DB114" s="5"/>
      <c r="DC114" s="5"/>
      <c r="DD114" s="5"/>
      <c r="DE114" s="5"/>
      <c r="DF114" s="5"/>
      <c r="DG114" s="5"/>
      <c r="DH114" s="5"/>
      <c r="DI114" s="5"/>
      <c r="DJ114" s="5"/>
    </row>
    <row r="115" spans="1:114" x14ac:dyDescent="0.25">
      <c r="A115" s="5"/>
      <c r="B115" s="5"/>
      <c r="C115" s="5"/>
      <c r="D115" s="1"/>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8"/>
      <c r="AG115" s="8"/>
      <c r="AH115" s="4"/>
      <c r="AI115" s="4"/>
      <c r="AJ115" s="8"/>
      <c r="AK115" s="8"/>
      <c r="AL115" s="8"/>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c r="CW115" s="5"/>
      <c r="CX115" s="5"/>
      <c r="CY115" s="5"/>
      <c r="CZ115" s="5"/>
      <c r="DA115" s="5"/>
      <c r="DB115" s="5"/>
      <c r="DC115" s="5"/>
      <c r="DD115" s="5"/>
      <c r="DE115" s="5"/>
      <c r="DF115" s="5"/>
      <c r="DG115" s="5"/>
      <c r="DH115" s="5"/>
      <c r="DI115" s="5"/>
      <c r="DJ115" s="5"/>
    </row>
    <row r="116" spans="1:114" x14ac:dyDescent="0.25">
      <c r="A116" s="5"/>
      <c r="B116" s="5"/>
      <c r="C116" s="5"/>
      <c r="D116" s="1"/>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8"/>
      <c r="AG116" s="8"/>
      <c r="AH116" s="4"/>
      <c r="AI116" s="4"/>
      <c r="AJ116" s="8"/>
      <c r="AK116" s="8"/>
      <c r="AL116" s="8"/>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c r="DF116" s="5"/>
      <c r="DG116" s="5"/>
      <c r="DH116" s="5"/>
      <c r="DI116" s="5"/>
      <c r="DJ116" s="5"/>
    </row>
    <row r="117" spans="1:114" x14ac:dyDescent="0.25">
      <c r="A117" s="5"/>
      <c r="B117" s="5"/>
      <c r="C117" s="5"/>
      <c r="D117" s="1"/>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8"/>
      <c r="AG117" s="8"/>
      <c r="AH117" s="4"/>
      <c r="AI117" s="4"/>
      <c r="AJ117" s="8"/>
      <c r="AK117" s="8"/>
      <c r="AL117" s="8"/>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c r="CW117" s="5"/>
      <c r="CX117" s="5"/>
      <c r="CY117" s="5"/>
      <c r="CZ117" s="5"/>
      <c r="DA117" s="5"/>
      <c r="DB117" s="5"/>
      <c r="DC117" s="5"/>
      <c r="DD117" s="5"/>
      <c r="DE117" s="5"/>
      <c r="DF117" s="5"/>
      <c r="DG117" s="5"/>
      <c r="DH117" s="5"/>
      <c r="DI117" s="5"/>
      <c r="DJ117" s="5"/>
    </row>
    <row r="118" spans="1:114" x14ac:dyDescent="0.25">
      <c r="A118" s="5"/>
      <c r="B118" s="5"/>
      <c r="C118" s="5"/>
      <c r="D118" s="1"/>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8"/>
      <c r="AG118" s="8"/>
      <c r="AH118" s="4"/>
      <c r="AI118" s="4"/>
      <c r="AJ118" s="8"/>
      <c r="AK118" s="8"/>
      <c r="AL118" s="8"/>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c r="CW118" s="5"/>
      <c r="CX118" s="5"/>
      <c r="CY118" s="5"/>
      <c r="CZ118" s="5"/>
      <c r="DA118" s="5"/>
      <c r="DB118" s="5"/>
      <c r="DC118" s="5"/>
      <c r="DD118" s="5"/>
      <c r="DE118" s="5"/>
      <c r="DF118" s="5"/>
      <c r="DG118" s="5"/>
      <c r="DH118" s="5"/>
      <c r="DI118" s="5"/>
      <c r="DJ118" s="5"/>
    </row>
    <row r="119" spans="1:114" x14ac:dyDescent="0.25">
      <c r="A119" s="5"/>
      <c r="B119" s="5"/>
      <c r="C119" s="5"/>
      <c r="D119" s="1"/>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4"/>
      <c r="AI119" s="4"/>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c r="CW119" s="5"/>
      <c r="CX119" s="5"/>
      <c r="CY119" s="5"/>
      <c r="CZ119" s="5"/>
      <c r="DA119" s="5"/>
      <c r="DB119" s="5"/>
      <c r="DC119" s="5"/>
      <c r="DD119" s="5"/>
      <c r="DE119" s="5"/>
      <c r="DF119" s="5"/>
      <c r="DG119" s="5"/>
      <c r="DH119" s="5"/>
      <c r="DI119" s="5"/>
      <c r="DJ119" s="5"/>
    </row>
    <row r="120" spans="1:114" x14ac:dyDescent="0.25">
      <c r="A120" s="5"/>
      <c r="B120" s="5"/>
      <c r="C120" s="5"/>
      <c r="D120" s="1"/>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4"/>
      <c r="AI120" s="4"/>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c r="CW120" s="5"/>
      <c r="CX120" s="5"/>
      <c r="CY120" s="5"/>
      <c r="CZ120" s="5"/>
      <c r="DA120" s="5"/>
      <c r="DB120" s="5"/>
      <c r="DC120" s="5"/>
      <c r="DD120" s="5"/>
      <c r="DE120" s="5"/>
      <c r="DF120" s="5"/>
      <c r="DG120" s="5"/>
      <c r="DH120" s="5"/>
      <c r="DI120" s="5"/>
      <c r="DJ120" s="5"/>
    </row>
    <row r="121" spans="1:114"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8"/>
      <c r="AI121" s="8"/>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c r="CW121" s="5"/>
      <c r="CX121" s="5"/>
      <c r="CY121" s="5"/>
      <c r="CZ121" s="5"/>
      <c r="DA121" s="5"/>
      <c r="DB121" s="5"/>
      <c r="DC121" s="5"/>
      <c r="DD121" s="5"/>
      <c r="DE121" s="5"/>
      <c r="DF121" s="5"/>
      <c r="DG121" s="5"/>
      <c r="DH121" s="5"/>
      <c r="DI121" s="5"/>
      <c r="DJ121" s="5"/>
    </row>
    <row r="122" spans="1:114"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8"/>
      <c r="AI122" s="8"/>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c r="CW122" s="5"/>
      <c r="CX122" s="5"/>
      <c r="CY122" s="5"/>
      <c r="CZ122" s="5"/>
      <c r="DA122" s="5"/>
      <c r="DB122" s="5"/>
      <c r="DC122" s="5"/>
      <c r="DD122" s="5"/>
      <c r="DE122" s="5"/>
      <c r="DF122" s="5"/>
      <c r="DG122" s="5"/>
      <c r="DH122" s="5"/>
      <c r="DI122" s="5"/>
      <c r="DJ122" s="5"/>
    </row>
    <row r="123" spans="1:114"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8"/>
      <c r="AI123" s="8"/>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c r="DI123" s="5"/>
      <c r="DJ123" s="5"/>
    </row>
    <row r="124" spans="1:114"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8"/>
      <c r="AI124" s="8"/>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c r="CW124" s="5"/>
      <c r="CX124" s="5"/>
      <c r="CY124" s="5"/>
      <c r="CZ124" s="5"/>
      <c r="DA124" s="5"/>
      <c r="DB124" s="5"/>
      <c r="DC124" s="5"/>
      <c r="DD124" s="5"/>
      <c r="DE124" s="5"/>
      <c r="DF124" s="5"/>
      <c r="DG124" s="5"/>
      <c r="DH124" s="5"/>
      <c r="DI124" s="5"/>
      <c r="DJ124" s="5"/>
    </row>
    <row r="125" spans="1:114" x14ac:dyDescent="0.25">
      <c r="D125" s="5"/>
      <c r="AH125" s="8"/>
      <c r="AI125" s="8"/>
    </row>
    <row r="126" spans="1:114" x14ac:dyDescent="0.25">
      <c r="D126" s="5"/>
      <c r="AH126" s="8"/>
      <c r="AI126" s="8"/>
    </row>
    <row r="127" spans="1:114" x14ac:dyDescent="0.25">
      <c r="D127" s="5"/>
      <c r="AH127" s="5"/>
      <c r="AI127" s="5"/>
    </row>
    <row r="128" spans="1:114" x14ac:dyDescent="0.25">
      <c r="D128" s="5"/>
      <c r="AH128" s="5"/>
      <c r="AI128" s="5"/>
    </row>
    <row r="129" spans="4:35" x14ac:dyDescent="0.25">
      <c r="D129" s="5"/>
      <c r="AH129" s="5"/>
      <c r="AI129" s="5"/>
    </row>
    <row r="130" spans="4:35" x14ac:dyDescent="0.25">
      <c r="D130" s="5"/>
      <c r="AH130" s="5"/>
      <c r="AI130" s="5"/>
    </row>
    <row r="131" spans="4:35" x14ac:dyDescent="0.25">
      <c r="D131" s="5"/>
      <c r="AH131" s="5"/>
      <c r="AI131" s="5"/>
    </row>
    <row r="132" spans="4:35" x14ac:dyDescent="0.25">
      <c r="D132" s="5"/>
      <c r="AH132" s="5"/>
      <c r="AI132" s="5"/>
    </row>
  </sheetData>
  <mergeCells count="10">
    <mergeCell ref="L16:N16"/>
    <mergeCell ref="A1:AG1"/>
    <mergeCell ref="B2:F3"/>
    <mergeCell ref="H2:V2"/>
    <mergeCell ref="W2:AA3"/>
    <mergeCell ref="AB2:AD3"/>
    <mergeCell ref="AE2:AG3"/>
    <mergeCell ref="H3:K3"/>
    <mergeCell ref="O3:V3"/>
    <mergeCell ref="L3:N3"/>
  </mergeCell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59999389629810485"/>
  </sheetPr>
  <dimension ref="A1:DJ132"/>
  <sheetViews>
    <sheetView showGridLines="0" topLeftCell="C1" workbookViewId="0">
      <selection activeCell="L7" sqref="L7"/>
    </sheetView>
  </sheetViews>
  <sheetFormatPr defaultColWidth="11.42578125" defaultRowHeight="15" x14ac:dyDescent="0.25"/>
  <cols>
    <col min="1" max="1" width="7.140625" style="13" customWidth="1"/>
    <col min="2" max="4" width="14.140625" style="13" customWidth="1"/>
    <col min="5" max="7" width="15.5703125" style="13" customWidth="1"/>
    <col min="8" max="11" width="13" style="13" customWidth="1"/>
    <col min="12" max="12" width="15.7109375" style="13" customWidth="1"/>
    <col min="13" max="14" width="16.85546875" style="13" customWidth="1"/>
    <col min="15" max="16" width="16.28515625" style="13" customWidth="1"/>
    <col min="17" max="18" width="15.5703125" style="13" customWidth="1"/>
    <col min="19" max="19" width="23.7109375" style="13" hidden="1" customWidth="1"/>
    <col min="20" max="20" width="16.140625" style="13" customWidth="1"/>
    <col min="21" max="21" width="19.5703125" style="13" customWidth="1"/>
    <col min="22" max="22" width="18.85546875" style="13" customWidth="1"/>
    <col min="23" max="23" width="16.5703125" style="13" customWidth="1"/>
    <col min="24" max="24" width="19.140625" style="13" customWidth="1"/>
    <col min="25" max="25" width="15.5703125" style="13" customWidth="1"/>
    <col min="26" max="26" width="13.85546875" style="13" customWidth="1"/>
    <col min="27" max="27" width="13" style="13" customWidth="1"/>
    <col min="28" max="28" width="13.140625" style="13" customWidth="1"/>
    <col min="29" max="29" width="16.5703125" style="13" customWidth="1"/>
    <col min="30" max="30" width="13.140625" style="13" customWidth="1"/>
    <col min="31" max="31" width="8.28515625" style="13" customWidth="1"/>
    <col min="32" max="32" width="11.42578125" style="13"/>
    <col min="33" max="33" width="15.7109375" style="13" bestFit="1" customWidth="1"/>
    <col min="34" max="34" width="17.140625" style="13" customWidth="1"/>
    <col min="35" max="35" width="17.5703125" style="13" customWidth="1"/>
    <col min="36" max="16384" width="11.42578125" style="13"/>
  </cols>
  <sheetData>
    <row r="1" spans="1:114" ht="36.75" customHeight="1" x14ac:dyDescent="0.25">
      <c r="A1" s="184" t="s">
        <v>306</v>
      </c>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07"/>
      <c r="AI1" s="107"/>
    </row>
    <row r="2" spans="1:114" ht="14.45" customHeight="1" x14ac:dyDescent="0.25">
      <c r="A2" s="16" t="s">
        <v>25</v>
      </c>
      <c r="B2" s="168" t="s">
        <v>68</v>
      </c>
      <c r="C2" s="169"/>
      <c r="D2" s="169"/>
      <c r="E2" s="169"/>
      <c r="F2" s="170"/>
      <c r="G2" s="72"/>
      <c r="H2" s="165" t="s">
        <v>116</v>
      </c>
      <c r="I2" s="166"/>
      <c r="J2" s="166"/>
      <c r="K2" s="166"/>
      <c r="L2" s="166"/>
      <c r="M2" s="166"/>
      <c r="N2" s="166"/>
      <c r="O2" s="166"/>
      <c r="P2" s="166"/>
      <c r="Q2" s="166"/>
      <c r="R2" s="166"/>
      <c r="S2" s="166"/>
      <c r="T2" s="166"/>
      <c r="U2" s="166"/>
      <c r="V2" s="166"/>
      <c r="W2" s="179" t="s">
        <v>39</v>
      </c>
      <c r="X2" s="179"/>
      <c r="Y2" s="179"/>
      <c r="Z2" s="179"/>
      <c r="AA2" s="179"/>
      <c r="AB2" s="186" t="s">
        <v>79</v>
      </c>
      <c r="AC2" s="186"/>
      <c r="AD2" s="187"/>
      <c r="AE2" s="174" t="s">
        <v>40</v>
      </c>
      <c r="AF2" s="175"/>
      <c r="AG2" s="175"/>
      <c r="AH2" s="175"/>
      <c r="AI2" s="175"/>
    </row>
    <row r="3" spans="1:114" s="37" customFormat="1" ht="35.25" customHeight="1" x14ac:dyDescent="0.25">
      <c r="A3" s="36"/>
      <c r="B3" s="171"/>
      <c r="C3" s="172"/>
      <c r="D3" s="172"/>
      <c r="E3" s="172"/>
      <c r="F3" s="173"/>
      <c r="G3" s="73"/>
      <c r="H3" s="162" t="s">
        <v>94</v>
      </c>
      <c r="I3" s="163"/>
      <c r="J3" s="163"/>
      <c r="K3" s="163"/>
      <c r="L3" s="190" t="s">
        <v>107</v>
      </c>
      <c r="M3" s="191"/>
      <c r="N3" s="192"/>
      <c r="O3" s="190" t="s">
        <v>99</v>
      </c>
      <c r="P3" s="191"/>
      <c r="Q3" s="191"/>
      <c r="R3" s="191"/>
      <c r="S3" s="191"/>
      <c r="T3" s="191"/>
      <c r="U3" s="191"/>
      <c r="V3" s="191"/>
      <c r="W3" s="181"/>
      <c r="X3" s="181"/>
      <c r="Y3" s="181"/>
      <c r="Z3" s="181"/>
      <c r="AA3" s="181"/>
      <c r="AB3" s="188"/>
      <c r="AC3" s="188"/>
      <c r="AD3" s="189"/>
      <c r="AE3" s="176"/>
      <c r="AF3" s="177"/>
      <c r="AG3" s="177"/>
      <c r="AH3" s="177"/>
      <c r="AI3" s="177"/>
    </row>
    <row r="4" spans="1:114" s="9" customFormat="1" ht="67.5" x14ac:dyDescent="0.2">
      <c r="A4" s="17" t="s">
        <v>43</v>
      </c>
      <c r="B4" s="18" t="s">
        <v>31</v>
      </c>
      <c r="C4" s="18" t="s">
        <v>59</v>
      </c>
      <c r="D4" s="18" t="s">
        <v>31</v>
      </c>
      <c r="E4" s="18" t="s">
        <v>31</v>
      </c>
      <c r="F4" s="18" t="s">
        <v>31</v>
      </c>
      <c r="G4" s="18" t="s">
        <v>250</v>
      </c>
      <c r="H4" s="34" t="s">
        <v>95</v>
      </c>
      <c r="I4" s="34" t="s">
        <v>95</v>
      </c>
      <c r="J4" s="34" t="s">
        <v>95</v>
      </c>
      <c r="K4" s="34" t="s">
        <v>95</v>
      </c>
      <c r="L4" s="34" t="s">
        <v>338</v>
      </c>
      <c r="M4" s="34" t="s">
        <v>338</v>
      </c>
      <c r="N4" s="34" t="s">
        <v>237</v>
      </c>
      <c r="O4" s="34" t="s">
        <v>322</v>
      </c>
      <c r="P4" s="34" t="s">
        <v>238</v>
      </c>
      <c r="Q4" s="34" t="s">
        <v>100</v>
      </c>
      <c r="R4" s="34" t="s">
        <v>100</v>
      </c>
      <c r="S4" s="34" t="s">
        <v>215</v>
      </c>
      <c r="T4" s="34" t="s">
        <v>138</v>
      </c>
      <c r="U4" s="34" t="s">
        <v>122</v>
      </c>
      <c r="V4" s="34" t="s">
        <v>122</v>
      </c>
      <c r="W4" s="19" t="s">
        <v>216</v>
      </c>
      <c r="X4" s="19" t="s">
        <v>130</v>
      </c>
      <c r="Y4" s="19" t="s">
        <v>31</v>
      </c>
      <c r="Z4" s="19" t="s">
        <v>49</v>
      </c>
      <c r="AA4" s="19" t="s">
        <v>48</v>
      </c>
      <c r="AB4" s="29" t="s">
        <v>233</v>
      </c>
      <c r="AC4" s="29" t="s">
        <v>233</v>
      </c>
      <c r="AD4" s="29" t="s">
        <v>233</v>
      </c>
      <c r="AE4" s="26" t="s">
        <v>19</v>
      </c>
      <c r="AF4" s="26" t="s">
        <v>4</v>
      </c>
      <c r="AG4" s="26" t="s">
        <v>4</v>
      </c>
      <c r="AH4" s="26" t="s">
        <v>234</v>
      </c>
      <c r="AI4" s="26" t="s">
        <v>232</v>
      </c>
    </row>
    <row r="5" spans="1:114" s="12" customFormat="1" ht="63.75" x14ac:dyDescent="0.25">
      <c r="A5" s="10" t="s">
        <v>0</v>
      </c>
      <c r="B5" s="11" t="s">
        <v>50</v>
      </c>
      <c r="C5" s="11" t="s">
        <v>11</v>
      </c>
      <c r="D5" s="11" t="s">
        <v>133</v>
      </c>
      <c r="E5" s="11" t="s">
        <v>60</v>
      </c>
      <c r="F5" s="11" t="s">
        <v>61</v>
      </c>
      <c r="G5" s="11" t="s">
        <v>251</v>
      </c>
      <c r="H5" s="11" t="s">
        <v>96</v>
      </c>
      <c r="I5" s="11" t="s">
        <v>97</v>
      </c>
      <c r="J5" s="11" t="s">
        <v>98</v>
      </c>
      <c r="K5" s="11" t="s">
        <v>101</v>
      </c>
      <c r="L5" s="11" t="s">
        <v>327</v>
      </c>
      <c r="M5" s="11" t="s">
        <v>328</v>
      </c>
      <c r="N5" s="109" t="s">
        <v>236</v>
      </c>
      <c r="O5" s="11" t="s">
        <v>240</v>
      </c>
      <c r="P5" s="11" t="s">
        <v>239</v>
      </c>
      <c r="Q5" s="11" t="s">
        <v>104</v>
      </c>
      <c r="R5" s="11" t="s">
        <v>212</v>
      </c>
      <c r="S5" s="11" t="s">
        <v>214</v>
      </c>
      <c r="T5" s="11" t="s">
        <v>126</v>
      </c>
      <c r="U5" s="11" t="s">
        <v>125</v>
      </c>
      <c r="V5" s="11" t="s">
        <v>137</v>
      </c>
      <c r="W5" s="11" t="s">
        <v>136</v>
      </c>
      <c r="X5" s="11" t="s">
        <v>217</v>
      </c>
      <c r="Y5" s="11" t="s">
        <v>88</v>
      </c>
      <c r="Z5" s="11" t="s">
        <v>14</v>
      </c>
      <c r="AA5" s="11" t="s">
        <v>15</v>
      </c>
      <c r="AB5" s="11" t="s">
        <v>45</v>
      </c>
      <c r="AC5" s="11" t="s">
        <v>82</v>
      </c>
      <c r="AD5" s="11" t="s">
        <v>83</v>
      </c>
      <c r="AE5" s="11" t="s">
        <v>26</v>
      </c>
      <c r="AF5" s="11" t="s">
        <v>16</v>
      </c>
      <c r="AG5" s="11" t="s">
        <v>17</v>
      </c>
      <c r="AH5" s="11" t="s">
        <v>227</v>
      </c>
      <c r="AI5" s="11" t="s">
        <v>141</v>
      </c>
    </row>
    <row r="6" spans="1:114" s="12" customFormat="1" ht="12.75" x14ac:dyDescent="0.25">
      <c r="A6" s="10" t="s">
        <v>9</v>
      </c>
      <c r="B6" s="11" t="s">
        <v>51</v>
      </c>
      <c r="C6" s="11" t="s">
        <v>10</v>
      </c>
      <c r="D6" s="11" t="s">
        <v>134</v>
      </c>
      <c r="E6" s="11" t="s">
        <v>33</v>
      </c>
      <c r="F6" s="11" t="s">
        <v>30</v>
      </c>
      <c r="G6" s="11" t="s">
        <v>129</v>
      </c>
      <c r="H6" s="11" t="s">
        <v>84</v>
      </c>
      <c r="I6" s="11" t="s">
        <v>85</v>
      </c>
      <c r="J6" s="11" t="s">
        <v>86</v>
      </c>
      <c r="K6" s="11" t="s">
        <v>106</v>
      </c>
      <c r="L6" s="11" t="s">
        <v>89</v>
      </c>
      <c r="M6" s="11" t="s">
        <v>90</v>
      </c>
      <c r="N6" s="11" t="s">
        <v>235</v>
      </c>
      <c r="O6" s="11" t="s">
        <v>121</v>
      </c>
      <c r="P6" s="11" t="s">
        <v>121</v>
      </c>
      <c r="Q6" s="11" t="s">
        <v>105</v>
      </c>
      <c r="R6" s="11" t="s">
        <v>213</v>
      </c>
      <c r="S6" s="11" t="s">
        <v>115</v>
      </c>
      <c r="T6" s="11" t="s">
        <v>127</v>
      </c>
      <c r="U6" s="11" t="s">
        <v>87</v>
      </c>
      <c r="V6" s="11" t="s">
        <v>119</v>
      </c>
      <c r="W6" s="11" t="s">
        <v>128</v>
      </c>
      <c r="X6" s="11" t="s">
        <v>62</v>
      </c>
      <c r="Y6" s="11" t="s">
        <v>24</v>
      </c>
      <c r="Z6" s="11" t="s">
        <v>135</v>
      </c>
      <c r="AA6" s="11" t="s">
        <v>23</v>
      </c>
      <c r="AB6" s="11" t="s">
        <v>44</v>
      </c>
      <c r="AC6" s="11" t="s">
        <v>47</v>
      </c>
      <c r="AD6" s="11" t="s">
        <v>13</v>
      </c>
      <c r="AE6" s="11" t="s">
        <v>18</v>
      </c>
      <c r="AF6" s="11" t="s">
        <v>20</v>
      </c>
      <c r="AG6" s="11" t="s">
        <v>21</v>
      </c>
      <c r="AH6" s="11" t="s">
        <v>228</v>
      </c>
      <c r="AI6" s="11" t="s">
        <v>142</v>
      </c>
    </row>
    <row r="7" spans="1:114" x14ac:dyDescent="0.25">
      <c r="A7" s="22">
        <v>2010</v>
      </c>
      <c r="B7" s="28">
        <f>Parameters!$C$3</f>
        <v>2.3E-2</v>
      </c>
      <c r="C7" s="28">
        <f>Parameters!$C$5</f>
        <v>46.486621</v>
      </c>
      <c r="D7" s="70">
        <f>Parameters!$C$19</f>
        <v>0.1</v>
      </c>
      <c r="E7" s="21">
        <f>Parameters!$C$7</f>
        <v>7.9000000000000001E-2</v>
      </c>
      <c r="F7" s="24">
        <f>Parameters!$C$6</f>
        <v>3.8</v>
      </c>
      <c r="G7" s="116">
        <f>11614/10</f>
        <v>1161.4000000000001</v>
      </c>
      <c r="H7" s="14">
        <f>Parameters!L84</f>
        <v>5558.4848499603177</v>
      </c>
      <c r="I7" s="14">
        <f>Parameters!M84</f>
        <v>30468.718320763077</v>
      </c>
      <c r="J7" s="14">
        <f>Parameters!N84</f>
        <v>47713.203102556741</v>
      </c>
      <c r="K7" s="14">
        <f>Parameters!O84</f>
        <v>166333.31061111411</v>
      </c>
      <c r="L7" s="14">
        <f>'LCOE Sensitivity Analysis'!L81+Parameters!$C$26</f>
        <v>55.392867498220582</v>
      </c>
      <c r="M7" s="14">
        <f>'LCOE Sensitivity Analysis'!M81+Parameters!$C$26</f>
        <v>73.77560210532711</v>
      </c>
      <c r="N7" s="111">
        <f>Parameters!P84</f>
        <v>36027203.170723401</v>
      </c>
      <c r="O7" s="112">
        <f>((((((L7*H7)+(M7*I7))*Parameters!$C$24)/1000000)*N7)/1000000)-BAU!Q7</f>
        <v>-2.1118718362629352E-3</v>
      </c>
      <c r="P7" s="112">
        <f>(((L7*Parameters!L84)+(M7*Parameters!M84))*Parameters!$C$24)/1000000</f>
        <v>2.4077706187740091</v>
      </c>
      <c r="Q7" s="39">
        <f>(H7+I7)/Parameters!B39</f>
        <v>0.12076697228051554</v>
      </c>
      <c r="R7" s="39">
        <f>Parameters!O84/Parameters!B84</f>
        <v>0.55756674246149807</v>
      </c>
      <c r="S7" s="74">
        <f>(IF(Q7-BAU!N7 &lt; 0, 0, Q7-BAU!N7))+(IF(BAU!O7-R7 &lt; 0,  0, BAU!O7-R7))</f>
        <v>1.9180230267368259E-6</v>
      </c>
      <c r="T7" s="39">
        <f>S7</f>
        <v>1.9180230267368259E-6</v>
      </c>
      <c r="U7" s="114">
        <f>Parameters!$C$30</f>
        <v>0.06</v>
      </c>
      <c r="V7" s="115">
        <f>U7*(T7^Parameters!$C$31)</f>
        <v>5.8903613433421976E-18</v>
      </c>
      <c r="W7" s="21">
        <f>R7</f>
        <v>0.55756674246149807</v>
      </c>
      <c r="X7" s="21">
        <f t="shared" ref="X7:X15" si="0">(1-T7)*W7*G7</f>
        <v>647.55677266360055</v>
      </c>
      <c r="Y7" s="20">
        <f>Parameters!$C$11</f>
        <v>530</v>
      </c>
      <c r="Z7" s="23">
        <f>Y7*Parameters!$C$13</f>
        <v>0.95399999999999996</v>
      </c>
      <c r="AA7" s="32">
        <f>1/(1+((Z7/20.46)^2)+((Z7/6081)^6754))</f>
        <v>0.99783058667694802</v>
      </c>
      <c r="AB7" s="28">
        <f>((Parameters!$C$18*F7*AA7)/(D7+B7))^(1/(1-Parameters!$C$21))</f>
        <v>8.8483217392581075</v>
      </c>
      <c r="AC7" s="24">
        <f>(1-V7)*AA7*F7*(AB7^Parameters!$C$21)</f>
        <v>9.0695297827395613</v>
      </c>
      <c r="AD7" s="23">
        <f>(1-Parameters!$C$18)*AC7</f>
        <v>7.9811862088108141</v>
      </c>
      <c r="AE7" s="30">
        <f t="shared" ref="AE7:AE15" si="1">LN(AD7)</f>
        <v>2.0770870481353931</v>
      </c>
      <c r="AF7" s="23">
        <f>1/(1+Parameters!$C$22*(A7-$A$7))</f>
        <v>1</v>
      </c>
      <c r="AG7" s="30">
        <f t="shared" ref="AG7:AG15" si="2">C7*AE7*AF7</f>
        <v>96.55675839067878</v>
      </c>
      <c r="AH7" s="30">
        <f>BAU!AF7</f>
        <v>9.1024174870568153</v>
      </c>
      <c r="AI7" s="30">
        <f t="shared" ref="AI7:AI15" si="3">(AC7-AH7)*C7</f>
        <v>-1.5288382461562486</v>
      </c>
      <c r="AJ7" s="4"/>
      <c r="AK7" s="4"/>
      <c r="AL7" s="4"/>
      <c r="AM7" s="1"/>
      <c r="AN7" s="1"/>
      <c r="AO7" s="1"/>
      <c r="AP7" s="1"/>
      <c r="AQ7" s="1"/>
      <c r="AR7" s="1"/>
      <c r="AS7" s="1"/>
      <c r="AT7" s="1"/>
      <c r="AU7" s="1"/>
      <c r="AV7" s="1"/>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row>
    <row r="8" spans="1:114" x14ac:dyDescent="0.25">
      <c r="A8" s="22">
        <v>2015</v>
      </c>
      <c r="B8" s="27">
        <f>B7/(1+Parameters!$C$4)</f>
        <v>2.1863117870722433E-2</v>
      </c>
      <c r="C8" s="28">
        <f t="shared" ref="C8:C15" si="4">C7*(1+B8)</f>
        <v>47.502963474334599</v>
      </c>
      <c r="D8" s="70">
        <f>Parameters!$C$19+(Parameters!$C$20*S8)</f>
        <v>0.10001022279744812</v>
      </c>
      <c r="E8" s="25">
        <f>($E$7/((1+Parameters!$C$8)^(A8-$A$7)))-Parameters!$C$9*Z8</f>
        <v>7.5416132635542685E-2</v>
      </c>
      <c r="F8" s="24">
        <f>F7*(1+E8)</f>
        <v>4.0865813040150618</v>
      </c>
      <c r="G8" s="116">
        <v>1221.3</v>
      </c>
      <c r="H8" s="14">
        <f>Parameters!L85</f>
        <v>8471.6515171007559</v>
      </c>
      <c r="I8" s="14">
        <f>Parameters!M85</f>
        <v>42884.37199908631</v>
      </c>
      <c r="J8" s="14">
        <f>Parameters!N85</f>
        <v>38020.232590291969</v>
      </c>
      <c r="K8" s="14">
        <f>Parameters!O85</f>
        <v>141873.10127924476</v>
      </c>
      <c r="L8" s="14">
        <f>'LCOE Sensitivity Analysis'!L82+Parameters!$C$26</f>
        <v>54.305942309716542</v>
      </c>
      <c r="M8" s="14">
        <f>'LCOE Sensitivity Analysis'!M82+Parameters!$C$26</f>
        <v>73.070374361710009</v>
      </c>
      <c r="N8" s="111">
        <f>Parameters!P85</f>
        <v>51356023.516187064</v>
      </c>
      <c r="O8" s="112">
        <f>((((((L8*H8)+(M8*I8))*Parameters!$C$24)/1000000)*N8)/1000000)-BAU!Q8</f>
        <v>7.6450406914370035</v>
      </c>
      <c r="P8" s="112">
        <f>(((L8*Parameters!L85)+(M8*Parameters!M85))*Parameters!$C$24)/1000000</f>
        <v>3.3855664867910926</v>
      </c>
      <c r="Q8" s="39">
        <f>(H8+I8)/Parameters!B40</f>
        <v>0.1841819611245154</v>
      </c>
      <c r="R8" s="39">
        <f>Parameters!O85/Parameters!B85</f>
        <v>0.50881014991731499</v>
      </c>
      <c r="S8" s="74">
        <f>(IF(Q8-BAU!N8 &lt; 0, 0, Q8-BAU!N8))+(IF(BAU!O8-R8 &lt; 0,  0, BAU!O8-R8))</f>
        <v>1.0222797448105309E-2</v>
      </c>
      <c r="T8" s="39">
        <f t="shared" ref="T8:T15" si="5">S8</f>
        <v>1.0222797448105309E-2</v>
      </c>
      <c r="U8" s="114">
        <f t="shared" ref="U8:U15" si="6">U7*(1+(-E8))</f>
        <v>5.5475032041867434E-2</v>
      </c>
      <c r="V8" s="115">
        <f>U8*(T8^Parameters!$C$31)</f>
        <v>1.4821524567310047E-7</v>
      </c>
      <c r="W8" s="21">
        <f t="shared" ref="W8:W15" si="7">R8</f>
        <v>0.50881014991731499</v>
      </c>
      <c r="X8" s="21">
        <f t="shared" si="0"/>
        <v>615.05728920736738</v>
      </c>
      <c r="Y8" s="20">
        <f>Y7+(X8/Parameters!$C$12)</f>
        <v>697.74289705655474</v>
      </c>
      <c r="Z8" s="23">
        <f>Y8*Parameters!$C$13</f>
        <v>1.2559372147017984</v>
      </c>
      <c r="AA8" s="32">
        <f t="shared" ref="AA8:AA15" si="8">1/(1+((Z8/20.46)^2)+((Z8/6081)^6754))</f>
        <v>0.99624602650525862</v>
      </c>
      <c r="AB8" s="28">
        <f>((Parameters!$C$18*F8*AA8)/(D8+B8))^(1/(1-Parameters!$C$21))</f>
        <v>10.115766449537833</v>
      </c>
      <c r="AC8" s="24">
        <f>(1-V8)*AA8*F8*(AB8^Parameters!$C$21)</f>
        <v>10.273683899151312</v>
      </c>
      <c r="AD8" s="23">
        <f>(1-Parameters!$C$18)*AC8</f>
        <v>9.0408418312531538</v>
      </c>
      <c r="AE8" s="30">
        <f t="shared" si="1"/>
        <v>2.2017522929946485</v>
      </c>
      <c r="AF8" s="23">
        <f>1/(1+Parameters!$C$22*(A8-$A$7))</f>
        <v>0.93023255813953487</v>
      </c>
      <c r="AG8" s="30">
        <f t="shared" si="2"/>
        <v>97.292798840611383</v>
      </c>
      <c r="AH8" s="30">
        <f>BAU!AF8</f>
        <v>10.358997143018955</v>
      </c>
      <c r="AI8" s="30">
        <f t="shared" si="3"/>
        <v>-4.0526319073216746</v>
      </c>
      <c r="AJ8" s="4"/>
      <c r="AK8" s="4"/>
      <c r="AL8" s="4"/>
      <c r="AM8" s="1"/>
      <c r="AN8" s="1"/>
      <c r="AO8" s="1"/>
      <c r="AP8" s="1"/>
      <c r="AQ8" s="1"/>
      <c r="AR8" s="1"/>
      <c r="AS8" s="1"/>
      <c r="AT8" s="1"/>
      <c r="AU8" s="1"/>
      <c r="AV8" s="1"/>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row>
    <row r="9" spans="1:114" x14ac:dyDescent="0.25">
      <c r="A9" s="22">
        <v>2020</v>
      </c>
      <c r="B9" s="27">
        <f>B8/(1+Parameters!$C$4)</f>
        <v>2.0782431436047938E-2</v>
      </c>
      <c r="C9" s="28">
        <f t="shared" si="4"/>
        <v>48.490190555749045</v>
      </c>
      <c r="D9" s="70">
        <f>Parameters!$C$19+(Parameters!$C$20*S9)</f>
        <v>0.10003146849925687</v>
      </c>
      <c r="E9" s="25">
        <f>($E$7/((1+Parameters!$C$8)^(A9-$A$7)))-Parameters!$C$9*Z9</f>
        <v>7.2915851858814898E-2</v>
      </c>
      <c r="F9" s="24">
        <f>F8*(1+E9)</f>
        <v>4.384557860987627</v>
      </c>
      <c r="G9" s="116">
        <v>1227.2</v>
      </c>
      <c r="H9" s="14">
        <f>Parameters!L86</f>
        <v>13226.274789357909</v>
      </c>
      <c r="I9" s="14">
        <f>Parameters!M86</f>
        <v>58199.453849758829</v>
      </c>
      <c r="J9" s="14">
        <f>Parameters!N86</f>
        <v>29956.893096857282</v>
      </c>
      <c r="K9" s="14">
        <f>Parameters!O86</f>
        <v>101767.82941524753</v>
      </c>
      <c r="L9" s="14">
        <f>'LCOE Sensitivity Analysis'!L83+Parameters!$C$26</f>
        <v>53.241373075138632</v>
      </c>
      <c r="M9" s="14">
        <f>'LCOE Sensitivity Analysis'!M83+Parameters!$C$26</f>
        <v>72.372129071000003</v>
      </c>
      <c r="N9" s="111">
        <f>Parameters!P86</f>
        <v>71425728.639116749</v>
      </c>
      <c r="O9" s="112">
        <f>((((((L9*H9)+(M9*I9))*Parameters!$C$24)/1000000)*N9)/1000000)-BAU!Q9</f>
        <v>36.683211868007902</v>
      </c>
      <c r="P9" s="112">
        <f>(((L9*Parameters!L86)+(M9*Parameters!M86))*Parameters!$C$24)/1000000</f>
        <v>4.6315552385253973</v>
      </c>
      <c r="Q9" s="39">
        <f>(H9+I9)/Parameters!B41</f>
        <v>0.289826995632679</v>
      </c>
      <c r="R9" s="39">
        <f>Parameters!O86/Parameters!B86</f>
        <v>0.41294733443330972</v>
      </c>
      <c r="S9" s="74">
        <f>(IF(Q9-BAU!N9 &lt; 0, 0, Q9-BAU!N9))+(IF(BAU!O9-R9 &lt; 0,  0, BAU!O9-R9))</f>
        <v>3.1468499256864457E-2</v>
      </c>
      <c r="T9" s="39">
        <f t="shared" si="5"/>
        <v>3.1468499256864457E-2</v>
      </c>
      <c r="U9" s="114">
        <f t="shared" si="6"/>
        <v>5.1430022823639621E-2</v>
      </c>
      <c r="V9" s="115">
        <f>U9*(T9^Parameters!$C$31)</f>
        <v>3.2008815705801083E-6</v>
      </c>
      <c r="W9" s="21">
        <f t="shared" si="7"/>
        <v>0.41294733443330972</v>
      </c>
      <c r="X9" s="21">
        <f t="shared" si="0"/>
        <v>490.82170989795191</v>
      </c>
      <c r="Y9" s="20">
        <f>Y8+(X9/Parameters!$C$12)</f>
        <v>831.60336339235982</v>
      </c>
      <c r="Z9" s="23">
        <f>Y9*Parameters!$C$13</f>
        <v>1.4968860541062476</v>
      </c>
      <c r="AA9" s="32">
        <f t="shared" si="8"/>
        <v>0.99467588027889975</v>
      </c>
      <c r="AB9" s="28">
        <f>((Parameters!$C$18*F9*AA9)/(D9+B9))^(1/(1-Parameters!$C$21))</f>
        <v>11.511172393097981</v>
      </c>
      <c r="AC9" s="24">
        <f>(1-V9)*AA9*F9*(AB9^Parameters!$C$21)</f>
        <v>11.589209817841324</v>
      </c>
      <c r="AD9" s="23">
        <f>(1-Parameters!$C$18)*AC9</f>
        <v>10.198504639700365</v>
      </c>
      <c r="AE9" s="30">
        <f t="shared" si="1"/>
        <v>2.3222411055918712</v>
      </c>
      <c r="AF9" s="23">
        <f>1/(1+Parameters!$C$22*(A9-$A$7))</f>
        <v>0.86956521739130443</v>
      </c>
      <c r="AG9" s="30">
        <f t="shared" si="2"/>
        <v>97.918185849167998</v>
      </c>
      <c r="AH9" s="30">
        <f>BAU!AF9</f>
        <v>11.74488149448006</v>
      </c>
      <c r="AI9" s="30">
        <f t="shared" si="3"/>
        <v>-7.5485492643452581</v>
      </c>
      <c r="AJ9" s="4"/>
      <c r="AK9" s="4"/>
      <c r="AL9" s="4"/>
      <c r="AM9" s="1"/>
      <c r="AN9" s="1"/>
      <c r="AO9" s="1"/>
      <c r="AP9" s="1"/>
      <c r="AQ9" s="1"/>
      <c r="AR9" s="1"/>
      <c r="AS9" s="1"/>
      <c r="AT9" s="1"/>
      <c r="AU9" s="1"/>
      <c r="AV9" s="1"/>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row>
    <row r="10" spans="1:114" ht="21.6" customHeight="1" x14ac:dyDescent="0.25">
      <c r="A10" s="22">
        <v>2025</v>
      </c>
      <c r="B10" s="27">
        <f>B9/(1+Parameters!$C$4)</f>
        <v>1.9755162962022753E-2</v>
      </c>
      <c r="C10" s="28">
        <f t="shared" si="4"/>
        <v>49.448122172237404</v>
      </c>
      <c r="D10" s="70">
        <f>Parameters!$C$19+(Parameters!$C$20*S10)</f>
        <v>0.1000710905226328</v>
      </c>
      <c r="E10" s="25">
        <f>($E$7/((1+Parameters!$C$8)^(A10-$A$7)))-Parameters!$C$9*Z10</f>
        <v>7.0487374989760945E-2</v>
      </c>
      <c r="F10" s="24">
        <f>F9*(1+E10)</f>
        <v>4.6936138350993666</v>
      </c>
      <c r="G10" s="116">
        <v>1401.8</v>
      </c>
      <c r="H10" s="14">
        <f>Parameters!L87</f>
        <v>19983.820540782257</v>
      </c>
      <c r="I10" s="14">
        <f>Parameters!M87</f>
        <v>77374.339553229176</v>
      </c>
      <c r="J10" s="14">
        <f>Parameters!N87</f>
        <v>27354.964581906272</v>
      </c>
      <c r="K10" s="14">
        <f>Parameters!O87</f>
        <v>103186.18255611419</v>
      </c>
      <c r="L10" s="14">
        <f>'LCOE Sensitivity Analysis'!L84+Parameters!$C$26</f>
        <v>52.198699975649987</v>
      </c>
      <c r="M10" s="14">
        <f>'LCOE Sensitivity Analysis'!M84+Parameters!$C$26</f>
        <v>71.680797100000007</v>
      </c>
      <c r="N10" s="111">
        <f>Parameters!P87</f>
        <v>97358160.094011426</v>
      </c>
      <c r="O10" s="112">
        <f>((((((L10*H10)+(M10*I10))*Parameters!$C$24)/1000000)*N10)/1000000)-BAU!Q10</f>
        <v>116.7988533126537</v>
      </c>
      <c r="P10" s="112">
        <f>(((L10*Parameters!L87)+(M10*Parameters!M87))*Parameters!$C$24)/1000000</f>
        <v>6.2078584657676048</v>
      </c>
      <c r="Q10" s="39">
        <f>(H10+I10)/Parameters!B42</f>
        <v>0.34792841990583417</v>
      </c>
      <c r="R10" s="39">
        <f>Parameters!O87/Parameters!B87</f>
        <v>0.36875599762974648</v>
      </c>
      <c r="S10" s="74">
        <f>(IF(Q10-BAU!N10 &lt; 0, 0, Q10-BAU!N10))+(IF(BAU!O10-R10 &lt; 0,  0, BAU!O10-R10))</f>
        <v>7.1090522632796749E-2</v>
      </c>
      <c r="T10" s="39">
        <f t="shared" si="5"/>
        <v>7.1090522632796749E-2</v>
      </c>
      <c r="U10" s="114">
        <f t="shared" si="6"/>
        <v>4.7804855519137768E-2</v>
      </c>
      <c r="V10" s="115">
        <f>U10*(T10^Parameters!$C$31)</f>
        <v>2.914370683907573E-5</v>
      </c>
      <c r="W10" s="21">
        <f t="shared" si="7"/>
        <v>0.36875599762974648</v>
      </c>
      <c r="X10" s="21">
        <f t="shared" si="0"/>
        <v>480.17389114183891</v>
      </c>
      <c r="Y10" s="20">
        <f>Y9+(X10/Parameters!$C$12)</f>
        <v>962.55987915831588</v>
      </c>
      <c r="Z10" s="23">
        <f>Y10*Parameters!$C$13</f>
        <v>1.7326077824849686</v>
      </c>
      <c r="AA10" s="32">
        <f t="shared" si="8"/>
        <v>0.99287990181466734</v>
      </c>
      <c r="AB10" s="28">
        <f>((Parameters!$C$18*F10*AA10)/(D10+B10))^(1/(1-Parameters!$C$21))</f>
        <v>13.033335267978959</v>
      </c>
      <c r="AC10" s="24">
        <f>(1-V10)*AA10*F10*(AB10^Parameters!$C$21)</f>
        <v>13.014085173357588</v>
      </c>
      <c r="AD10" s="23">
        <f>(1-Parameters!$C$18)*AC10</f>
        <v>11.452394952554677</v>
      </c>
      <c r="AE10" s="30">
        <f t="shared" si="1"/>
        <v>2.4381988742900376</v>
      </c>
      <c r="AF10" s="23">
        <f>1/(1+Parameters!$C$22*(A10-$A$7))</f>
        <v>0.81632653061224481</v>
      </c>
      <c r="AG10" s="30">
        <f t="shared" si="2"/>
        <v>98.419882298861609</v>
      </c>
      <c r="AH10" s="30">
        <f>BAU!AF10</f>
        <v>13.267674708883096</v>
      </c>
      <c r="AI10" s="30">
        <f t="shared" si="3"/>
        <v>-12.539526334266268</v>
      </c>
      <c r="AJ10" s="4"/>
      <c r="AK10" s="4"/>
      <c r="AL10" s="4"/>
      <c r="AM10" s="1"/>
      <c r="AN10" s="1"/>
      <c r="AO10" s="1"/>
      <c r="AP10" s="1"/>
      <c r="AQ10" s="1"/>
      <c r="AR10" s="1"/>
      <c r="AS10" s="1"/>
      <c r="AT10" s="1"/>
      <c r="AU10" s="1"/>
      <c r="AV10" s="1"/>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row>
    <row r="11" spans="1:114" x14ac:dyDescent="0.25">
      <c r="A11" s="22">
        <v>2030</v>
      </c>
      <c r="B11" s="27">
        <f>B10/(1+Parameters!$C$4)</f>
        <v>1.8778672017131893E-2</v>
      </c>
      <c r="C11" s="28">
        <f>C10*(1+B11)</f>
        <v>50.376692240372918</v>
      </c>
      <c r="D11" s="70">
        <f>Parameters!$C$19+(Parameters!$C$20*S11)</f>
        <v>0.10011798139557376</v>
      </c>
      <c r="E11" s="25">
        <f>($E$7/((1+Parameters!$C$8)^(A11-$A$7)))-Parameters!$C$9*Z11</f>
        <v>6.815761094246274E-2</v>
      </c>
      <c r="F11" s="24">
        <f t="shared" ref="F11:F14" si="9">F10*(1+E11)</f>
        <v>5.0135193407862291</v>
      </c>
      <c r="G11" s="116">
        <v>1481.4</v>
      </c>
      <c r="H11" s="14">
        <f>Parameters!L88</f>
        <v>30691.195103783753</v>
      </c>
      <c r="I11" s="14">
        <f>Parameters!M88</f>
        <v>97759.007356705246</v>
      </c>
      <c r="J11" s="14">
        <f>Parameters!N88</f>
        <v>21789.315963796096</v>
      </c>
      <c r="K11" s="14">
        <f>Parameters!O88</f>
        <v>93190.555192352447</v>
      </c>
      <c r="L11" s="14">
        <f>'LCOE Sensitivity Analysis'!L85+Parameters!$C$26</f>
        <v>51.177472649999991</v>
      </c>
      <c r="M11" s="14">
        <f>'LCOE Sensitivity Analysis'!M85+Parameters!$C$26</f>
        <v>70.996310000000008</v>
      </c>
      <c r="N11" s="111">
        <f>Parameters!P88</f>
        <v>128450202.460489</v>
      </c>
      <c r="O11" s="112">
        <f>((((((L11*H11)+(M11*I11))*Parameters!$C$24)/1000000)*N11)/1000000)-BAU!Q11</f>
        <v>285.62011869762159</v>
      </c>
      <c r="P11" s="112">
        <f>(((L11*Parameters!L88)+(M11*Parameters!M88))*Parameters!$C$24)/1000000</f>
        <v>8.0184265700702948</v>
      </c>
      <c r="Q11" s="39">
        <f>(H11+I11)/Parameters!B43</f>
        <v>0.43326503672629796</v>
      </c>
      <c r="R11" s="39">
        <f>Parameters!O88/Parameters!B88</f>
        <v>0.31433355918904304</v>
      </c>
      <c r="S11" s="74">
        <f>(IF(Q11-BAU!N11 &lt; 0, 0, Q11-BAU!N11))+(IF(BAU!O11-R11 &lt; 0,  0, BAU!O11-R11))</f>
        <v>0.11798139557376403</v>
      </c>
      <c r="T11" s="39">
        <f t="shared" si="5"/>
        <v>0.11798139557376403</v>
      </c>
      <c r="U11" s="114">
        <f t="shared" si="6"/>
        <v>4.4546590775503735E-2</v>
      </c>
      <c r="V11" s="115">
        <f>U11*(T11^Parameters!$C$31)</f>
        <v>1.1217403797938678E-4</v>
      </c>
      <c r="W11" s="21">
        <f t="shared" si="7"/>
        <v>0.31433355918904304</v>
      </c>
      <c r="X11" s="21">
        <f t="shared" si="0"/>
        <v>410.71525712245239</v>
      </c>
      <c r="Y11" s="20">
        <f>Y10+(X11/Parameters!$C$12)</f>
        <v>1074.5731311008028</v>
      </c>
      <c r="Z11" s="23">
        <f>Y11*Parameters!$C$13</f>
        <v>1.9342316359814451</v>
      </c>
      <c r="AA11" s="32">
        <f t="shared" si="8"/>
        <v>0.99114188053016905</v>
      </c>
      <c r="AB11" s="28">
        <f>((Parameters!$C$18*F11*AA11)/(D11+B11))^(1/(1-Parameters!$C$21))</f>
        <v>14.694344903200163</v>
      </c>
      <c r="AC11" s="24">
        <f>(1-V11)*AA11*F11*(AB11^Parameters!$C$21)</f>
        <v>14.557603773956838</v>
      </c>
      <c r="AD11" s="23">
        <f>(1-Parameters!$C$18)*AC11</f>
        <v>12.810691321082018</v>
      </c>
      <c r="AE11" s="30">
        <f t="shared" si="1"/>
        <v>2.5502800817500422</v>
      </c>
      <c r="AF11" s="23">
        <f>1/(1+Parameters!$C$22*(A11-$A$7))</f>
        <v>0.76923076923076916</v>
      </c>
      <c r="AG11" s="30">
        <f t="shared" si="2"/>
        <v>98.82667292698072</v>
      </c>
      <c r="AH11" s="30">
        <f>BAU!AF11</f>
        <v>14.934834851616968</v>
      </c>
      <c r="AI11" s="30">
        <f t="shared" si="3"/>
        <v>-19.003653902788539</v>
      </c>
      <c r="AJ11" s="4"/>
      <c r="AK11" s="4"/>
      <c r="AL11" s="4"/>
      <c r="AM11" s="1"/>
      <c r="AN11" s="1"/>
      <c r="AO11" s="1"/>
      <c r="AP11" s="1"/>
      <c r="AQ11" s="1"/>
      <c r="AR11" s="1"/>
      <c r="AS11" s="1"/>
      <c r="AT11" s="1"/>
      <c r="AU11" s="1"/>
      <c r="AV11" s="1"/>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row>
    <row r="12" spans="1:114" x14ac:dyDescent="0.25">
      <c r="A12" s="22">
        <v>2035</v>
      </c>
      <c r="B12" s="27">
        <f>B11/(1+Parameters!$C$4)</f>
        <v>1.7850448685486589E-2</v>
      </c>
      <c r="C12" s="28">
        <f t="shared" si="4"/>
        <v>51.27593880015425</v>
      </c>
      <c r="D12" s="70">
        <f>Parameters!$C$19+(Parameters!$C$20*S12)</f>
        <v>0.10017825181377393</v>
      </c>
      <c r="E12" s="25">
        <f>($E$7/((1+Parameters!$C$8)^(A12-$A$7)))-Parameters!$C$9*Z12</f>
        <v>6.5920602650998625E-2</v>
      </c>
      <c r="F12" s="24">
        <f t="shared" si="9"/>
        <v>5.3440135571332945</v>
      </c>
      <c r="G12" s="116">
        <v>1574.3</v>
      </c>
      <c r="H12" s="14">
        <f>Parameters!L89</f>
        <v>40742.567886529214</v>
      </c>
      <c r="I12" s="14">
        <f>Parameters!M89</f>
        <v>107209.71452803507</v>
      </c>
      <c r="J12" s="14">
        <f>Parameters!N89</f>
        <v>21827.050504719973</v>
      </c>
      <c r="K12" s="14">
        <f>Parameters!O89</f>
        <v>83094.95587184465</v>
      </c>
      <c r="L12" s="14">
        <f>'LCOE Sensitivity Analysis'!L86+Parameters!$C$26</f>
        <v>50.177249999999994</v>
      </c>
      <c r="M12" s="14">
        <f>'LCOE Sensitivity Analysis'!M86+Parameters!$C$26</f>
        <v>70.318600000000004</v>
      </c>
      <c r="N12" s="111">
        <f>Parameters!P89</f>
        <v>147952282.41456428</v>
      </c>
      <c r="O12" s="112">
        <f>((((((L12*H12)+(M12*I12))*Parameters!$C$24)/1000000)*N12)/1000000)-BAU!Q12</f>
        <v>458.71695701722126</v>
      </c>
      <c r="P12" s="112">
        <f>(((L12*Parameters!L89)+(M12*Parameters!M89))*Parameters!$C$24)/1000000</f>
        <v>9.0283205165033493</v>
      </c>
      <c r="Q12" s="39">
        <f>(H12+I12)/Parameters!B44</f>
        <v>0.48104292295575618</v>
      </c>
      <c r="R12" s="39">
        <f>Parameters!O89/Parameters!B89</f>
        <v>0.27016981288243308</v>
      </c>
      <c r="S12" s="74">
        <f>(IF(Q12-BAU!N12 &lt; 0, 0, Q12-BAU!N12))+(IF(BAU!O12-R12 &lt; 0,  0, BAU!O12-R12))</f>
        <v>0.17825181377393345</v>
      </c>
      <c r="T12" s="39">
        <f t="shared" si="5"/>
        <v>0.17825181377393345</v>
      </c>
      <c r="U12" s="114">
        <f t="shared" si="6"/>
        <v>4.1610052665535115E-2</v>
      </c>
      <c r="V12" s="115">
        <f>U12*(T12^Parameters!$C$31)</f>
        <v>3.3273106253321158E-4</v>
      </c>
      <c r="W12" s="21">
        <f t="shared" si="7"/>
        <v>0.27016981288243308</v>
      </c>
      <c r="X12" s="21">
        <f t="shared" si="0"/>
        <v>349.51278900435443</v>
      </c>
      <c r="Y12" s="20">
        <f>Y11+(X12/Parameters!$C$12)</f>
        <v>1169.8948008292632</v>
      </c>
      <c r="Z12" s="23">
        <f>Y12*Parameters!$C$13</f>
        <v>2.1058106414926736</v>
      </c>
      <c r="AA12" s="32">
        <f t="shared" si="8"/>
        <v>0.98951783481062938</v>
      </c>
      <c r="AB12" s="28">
        <f>((Parameters!$C$18*F12*AA12)/(D12+B12))^(1/(1-Parameters!$C$21))</f>
        <v>16.499647394861103</v>
      </c>
      <c r="AC12" s="24">
        <f>(1-V12)*AA12*F12*(AB12^Parameters!$C$21)</f>
        <v>16.223199746771847</v>
      </c>
      <c r="AD12" s="23">
        <f>(1-Parameters!$C$18)*AC12</f>
        <v>14.276415777159226</v>
      </c>
      <c r="AE12" s="30">
        <f t="shared" si="1"/>
        <v>2.658608929409418</v>
      </c>
      <c r="AF12" s="23">
        <f>1/(1+Parameters!$C$22*(A12-$A$7))</f>
        <v>0.72727272727272729</v>
      </c>
      <c r="AG12" s="30">
        <f t="shared" si="2"/>
        <v>99.14375909668432</v>
      </c>
      <c r="AH12" s="30">
        <f>BAU!AF12</f>
        <v>16.753616251228273</v>
      </c>
      <c r="AI12" s="30">
        <f t="shared" si="3"/>
        <v>-27.197604221099432</v>
      </c>
      <c r="AJ12" s="4"/>
      <c r="AK12" s="4"/>
      <c r="AL12" s="4"/>
      <c r="AM12" s="1"/>
      <c r="AN12" s="1"/>
      <c r="AO12" s="1"/>
      <c r="AP12" s="1"/>
      <c r="AQ12" s="1"/>
      <c r="AR12" s="1"/>
      <c r="AS12" s="1"/>
      <c r="AT12" s="1"/>
      <c r="AU12" s="1"/>
      <c r="AV12" s="1"/>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row>
    <row r="13" spans="1:114" x14ac:dyDescent="0.25">
      <c r="A13" s="22">
        <v>2040</v>
      </c>
      <c r="B13" s="27">
        <f>B12/(1+Parameters!$C$4)</f>
        <v>1.6968107115481548E-2</v>
      </c>
      <c r="C13" s="28">
        <f t="shared" si="4"/>
        <v>52.14599442216214</v>
      </c>
      <c r="D13" s="70">
        <f>Parameters!$C$19+(Parameters!$C$20*S13)</f>
        <v>0.10021188770427621</v>
      </c>
      <c r="E13" s="25">
        <f>($E$7/((1+Parameters!$C$8)^(A13-$A$7)))-Parameters!$C$9*Z13</f>
        <v>6.3759470542810531E-2</v>
      </c>
      <c r="F13" s="24">
        <f t="shared" si="9"/>
        <v>5.6847450321097153</v>
      </c>
      <c r="G13" s="116">
        <v>1689.8</v>
      </c>
      <c r="H13" s="14">
        <f>Parameters!L90</f>
        <v>52198.416596091614</v>
      </c>
      <c r="I13" s="14">
        <f>Parameters!M90</f>
        <v>115611.68015106711</v>
      </c>
      <c r="J13" s="14">
        <f>Parameters!N90</f>
        <v>20643.604839008414</v>
      </c>
      <c r="K13" s="14">
        <f>Parameters!O90</f>
        <v>76545.695319969105</v>
      </c>
      <c r="L13" s="14">
        <f>'LCOE Sensitivity Analysis'!L87+Parameters!$C$26</f>
        <v>49.197600000000001</v>
      </c>
      <c r="M13" s="14">
        <f>'LCOE Sensitivity Analysis'!M87+Parameters!$C$26</f>
        <v>69.647599999999997</v>
      </c>
      <c r="N13" s="111">
        <f>Parameters!P90</f>
        <v>167810096.74715874</v>
      </c>
      <c r="O13" s="112">
        <f>((((((L13*H13)+(M13*I13))*Parameters!$C$24)/1000000)*N13)/1000000)-BAU!Q13</f>
        <v>618.70093441561335</v>
      </c>
      <c r="P13" s="112">
        <f>(((L13*Parameters!L90)+(M13*Parameters!M90))*Parameters!$C$24)/1000000</f>
        <v>10.005208339365415</v>
      </c>
      <c r="Q13" s="39">
        <f>(H13+I13)/Parameters!B45</f>
        <v>0.52501260244755621</v>
      </c>
      <c r="R13" s="39">
        <f>Parameters!O90/Parameters!B90</f>
        <v>0.23948174445454004</v>
      </c>
      <c r="S13" s="74">
        <f>(IF(Q13-BAU!N13 &lt; 0, 0, Q13-BAU!N13))+(IF(BAU!O13-R13 &lt; 0,  0, BAU!O13-R13))</f>
        <v>0.21188770427620099</v>
      </c>
      <c r="T13" s="39">
        <f t="shared" si="5"/>
        <v>0.21188770427620099</v>
      </c>
      <c r="U13" s="114">
        <f t="shared" si="6"/>
        <v>3.8957017738322136E-2</v>
      </c>
      <c r="V13" s="115">
        <f>U13*(T13^Parameters!$C$31)</f>
        <v>5.054542106093981E-4</v>
      </c>
      <c r="W13" s="21">
        <f t="shared" si="7"/>
        <v>0.23948174445454004</v>
      </c>
      <c r="X13" s="21">
        <f t="shared" si="0"/>
        <v>318.93032981467184</v>
      </c>
      <c r="Y13" s="20">
        <f>Y12+(X13/Parameters!$C$12)</f>
        <v>1256.8757998696283</v>
      </c>
      <c r="Z13" s="23">
        <f>Y13*Parameters!$C$13</f>
        <v>2.262376439765331</v>
      </c>
      <c r="AA13" s="32">
        <f t="shared" si="8"/>
        <v>0.98792073302921291</v>
      </c>
      <c r="AB13" s="28">
        <f>((Parameters!$C$18*F13*AA13)/(D13+B13))^(1/(1-Parameters!$C$21))</f>
        <v>18.461547573170076</v>
      </c>
      <c r="AC13" s="24">
        <f>(1-V13)*AA13*F13*(AB13^Parameters!$C$21)</f>
        <v>18.018588231160891</v>
      </c>
      <c r="AD13" s="23">
        <f>(1-Parameters!$C$18)*AC13</f>
        <v>15.856357643421584</v>
      </c>
      <c r="AE13" s="30">
        <f t="shared" si="1"/>
        <v>2.7635705330485423</v>
      </c>
      <c r="AF13" s="23">
        <f>1/(1+Parameters!$C$22*(A13-$A$7))</f>
        <v>0.68965517241379315</v>
      </c>
      <c r="AG13" s="30">
        <f t="shared" si="2"/>
        <v>99.385609380414451</v>
      </c>
      <c r="AH13" s="30">
        <f>BAU!AF13</f>
        <v>18.731012679021322</v>
      </c>
      <c r="AI13" s="30">
        <f t="shared" si="3"/>
        <v>-37.150081284342022</v>
      </c>
      <c r="AJ13" s="4"/>
      <c r="AK13" s="4"/>
      <c r="AL13" s="4"/>
      <c r="AM13" s="1"/>
      <c r="AN13" s="1"/>
      <c r="AO13" s="1"/>
      <c r="AP13" s="1"/>
      <c r="AQ13" s="1"/>
      <c r="AR13" s="1"/>
      <c r="AS13" s="1"/>
      <c r="AT13" s="1"/>
      <c r="AU13" s="1"/>
      <c r="AV13" s="1"/>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row>
    <row r="14" spans="1:114" x14ac:dyDescent="0.25">
      <c r="A14" s="22">
        <v>2045</v>
      </c>
      <c r="B14" s="27">
        <f>B13/(1+Parameters!$C$4)</f>
        <v>1.6129379387339875E-2</v>
      </c>
      <c r="C14" s="28">
        <f t="shared" si="4"/>
        <v>52.987076949727296</v>
      </c>
      <c r="D14" s="70">
        <f>Parameters!$C$19+(Parameters!$C$20*S14)</f>
        <v>0.10026285374437756</v>
      </c>
      <c r="E14" s="25">
        <f>($E$7/((1+Parameters!$C$8)^(A14-$A$7)))-Parameters!$C$9*Z14</f>
        <v>6.167302745077051E-2</v>
      </c>
      <c r="F14" s="24">
        <f t="shared" si="9"/>
        <v>6.0353404685256482</v>
      </c>
      <c r="G14" s="116">
        <v>1814.7</v>
      </c>
      <c r="H14" s="14">
        <f>Parameters!L91</f>
        <v>62760.72088750168</v>
      </c>
      <c r="I14" s="14">
        <f>Parameters!M91</f>
        <v>119757.15018748365</v>
      </c>
      <c r="J14" s="14">
        <f>Parameters!N91</f>
        <v>19403.456430579972</v>
      </c>
      <c r="K14" s="14">
        <f>Parameters!O91</f>
        <v>70136.216485591605</v>
      </c>
      <c r="L14" s="14">
        <f>'LCOE Sensitivity Analysis'!L88+Parameters!$C$26</f>
        <v>48.217950000000002</v>
      </c>
      <c r="M14" s="14">
        <f>'LCOE Sensitivity Analysis'!M88+Parameters!$C$26</f>
        <v>68.976599999999991</v>
      </c>
      <c r="N14" s="111">
        <f>Parameters!P91</f>
        <v>182517871.07498533</v>
      </c>
      <c r="O14" s="112">
        <f>((((((L14*H14)+(M14*I14))*Parameters!$C$24)/1000000)*N14)/1000000)-BAU!Q14</f>
        <v>817.09880966445712</v>
      </c>
      <c r="P14" s="112">
        <f>(((L14*Parameters!L91)+(M14*Parameters!M91))*Parameters!$C$24)/1000000</f>
        <v>10.63313821862854</v>
      </c>
      <c r="Q14" s="39">
        <f>(H14+I14)/Parameters!B46</f>
        <v>0.55854362760381182</v>
      </c>
      <c r="R14" s="39">
        <f>Parameters!O91/Parameters!B91</f>
        <v>0.21463178674801858</v>
      </c>
      <c r="S14" s="74">
        <f>(IF(Q14-BAU!N14 &lt; 0, 0, Q14-BAU!N14))+(IF(BAU!O14-R14 &lt; 0,  0, BAU!O14-R14))</f>
        <v>0.26285374437755027</v>
      </c>
      <c r="T14" s="39">
        <f t="shared" si="5"/>
        <v>0.26285374437755027</v>
      </c>
      <c r="U14" s="114">
        <f t="shared" si="6"/>
        <v>3.6554420513946438E-2</v>
      </c>
      <c r="V14" s="115">
        <f>U14*(T14^Parameters!$C$31)</f>
        <v>8.6724054534654952E-4</v>
      </c>
      <c r="W14" s="21">
        <f t="shared" si="7"/>
        <v>0.21463178674801858</v>
      </c>
      <c r="X14" s="21">
        <f t="shared" si="0"/>
        <v>287.1127930536457</v>
      </c>
      <c r="Y14" s="20">
        <f>Y13+(X14/Parameters!$C$12)</f>
        <v>1335.179288884259</v>
      </c>
      <c r="Z14" s="23">
        <f>Y14*Parameters!$C$13</f>
        <v>2.403322719991666</v>
      </c>
      <c r="AA14" s="32">
        <f t="shared" si="8"/>
        <v>0.98638989301402769</v>
      </c>
      <c r="AB14" s="28">
        <f>((Parameters!$C$18*F14*AA14)/(D14+B14))^(1/(1-Parameters!$C$21))</f>
        <v>20.575294311914082</v>
      </c>
      <c r="AC14" s="24">
        <f>(1-V14)*AA14*F14*(AB14^Parameters!$C$21)</f>
        <v>19.939396506556562</v>
      </c>
      <c r="AD14" s="23">
        <f>(1-Parameters!$C$18)*AC14</f>
        <v>17.546668925769776</v>
      </c>
      <c r="AE14" s="30">
        <f t="shared" si="1"/>
        <v>2.8648641270972215</v>
      </c>
      <c r="AF14" s="23">
        <f>1/(1+Parameters!$C$22*(A14-$A$7))</f>
        <v>0.65573770491803285</v>
      </c>
      <c r="AG14" s="30">
        <f t="shared" si="2"/>
        <v>99.541492428205771</v>
      </c>
      <c r="AH14" s="30">
        <f>BAU!AF14</f>
        <v>20.873702061172605</v>
      </c>
      <c r="AI14" s="30">
        <f t="shared" si="3"/>
        <v>-49.506120316997865</v>
      </c>
      <c r="AJ14" s="4"/>
      <c r="AK14" s="4"/>
      <c r="AL14" s="4"/>
      <c r="AM14" s="1"/>
      <c r="AN14" s="1"/>
      <c r="AO14" s="1"/>
      <c r="AP14" s="1"/>
      <c r="AQ14" s="1"/>
      <c r="AR14" s="1"/>
      <c r="AS14" s="1"/>
      <c r="AT14" s="1"/>
      <c r="AU14" s="1"/>
      <c r="AV14" s="1"/>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row>
    <row r="15" spans="1:114" x14ac:dyDescent="0.25">
      <c r="A15" s="22">
        <v>2050</v>
      </c>
      <c r="B15" s="27">
        <f>B14/(1+Parameters!$C$4)</f>
        <v>1.533210968378315E-2</v>
      </c>
      <c r="C15" s="28">
        <f t="shared" si="4"/>
        <v>53.79948062534357</v>
      </c>
      <c r="D15" s="70">
        <f>Parameters!$C$19+(Parameters!$C$20*S15)</f>
        <v>0.1003127843857137</v>
      </c>
      <c r="E15" s="25">
        <f>($E$7/((1+Parameters!$C$8)^(A15-$A$7)))-Parameters!$C$9*Z15</f>
        <v>5.966346983251565E-2</v>
      </c>
      <c r="F15" s="24">
        <f>F14*(1+E15)</f>
        <v>6.3954298224984889</v>
      </c>
      <c r="G15" s="116">
        <v>1946.6</v>
      </c>
      <c r="H15" s="14">
        <f>Parameters!L92</f>
        <v>75019.22740225961</v>
      </c>
      <c r="I15" s="14">
        <f>Parameters!M92</f>
        <v>124503.34202586024</v>
      </c>
      <c r="J15" s="14">
        <f>Parameters!N92</f>
        <v>17941.06100312019</v>
      </c>
      <c r="K15" s="14">
        <f>Parameters!O92</f>
        <v>61889.703036084087</v>
      </c>
      <c r="L15" s="14">
        <f>'LCOE Sensitivity Analysis'!L89+Parameters!$C$26</f>
        <v>47.258872650000001</v>
      </c>
      <c r="M15" s="14">
        <f>'LCOE Sensitivity Analysis'!M89+Parameters!$C$26</f>
        <v>68.312309999999997</v>
      </c>
      <c r="N15" s="111">
        <f>Parameters!P92</f>
        <v>199522569.42811987</v>
      </c>
      <c r="O15" s="112">
        <f>((((((L15*H15)+(M15*I15))*Parameters!$C$24)/1000000)*N15)/1000000)-BAU!Q15</f>
        <v>1036.6235912735401</v>
      </c>
      <c r="P15" s="112">
        <f>(((L15*Parameters!L92)+(M15*Parameters!M92))*Parameters!$C$24)/1000000</f>
        <v>11.352714823496973</v>
      </c>
      <c r="Q15" s="39">
        <f>(H15+I15)/Parameters!B47</f>
        <v>0.59591534614300701</v>
      </c>
      <c r="R15" s="39">
        <f>Parameters!O92/Parameters!B92</f>
        <v>0.18484637559122225</v>
      </c>
      <c r="S15" s="74">
        <f>(IF(Q15-BAU!N15 &lt; 0, 0, Q15-BAU!N15))+(IF(BAU!O15-R15 &lt; 0,  0, BAU!O15-R15))</f>
        <v>0.31278438571368666</v>
      </c>
      <c r="T15" s="39">
        <f t="shared" si="5"/>
        <v>0.31278438571368666</v>
      </c>
      <c r="U15" s="114">
        <f t="shared" si="6"/>
        <v>3.4373456948367499E-2</v>
      </c>
      <c r="V15" s="115">
        <f>U15*(T15^Parameters!$C$31)</f>
        <v>1.3271175517536578E-3</v>
      </c>
      <c r="W15" s="21">
        <f t="shared" si="7"/>
        <v>0.18484637559122225</v>
      </c>
      <c r="X15" s="21">
        <f t="shared" si="0"/>
        <v>247.27526565064298</v>
      </c>
      <c r="Y15" s="20">
        <f>Y14+(X15/Parameters!$C$12)</f>
        <v>1402.6179976980707</v>
      </c>
      <c r="Z15" s="23">
        <f>Y15*Parameters!$C$13</f>
        <v>2.5247123958565272</v>
      </c>
      <c r="AA15" s="32">
        <f t="shared" si="8"/>
        <v>0.98500144453879335</v>
      </c>
      <c r="AB15" s="28">
        <f>((Parameters!$C$18*F15*AA15)/(D15+B15))^(1/(1-Parameters!$C$21))</f>
        <v>22.852601555883439</v>
      </c>
      <c r="AC15" s="24">
        <f>(1-V15)*AA15*F15*(AB15^Parameters!$C$21)</f>
        <v>21.993994979548656</v>
      </c>
      <c r="AD15" s="23">
        <f>(1-Parameters!$C$18)*AC15</f>
        <v>19.354715582002818</v>
      </c>
      <c r="AE15" s="30">
        <f t="shared" si="1"/>
        <v>2.962936089114244</v>
      </c>
      <c r="AF15" s="23">
        <f>1/(1+Parameters!$C$22*(A15-$A$7))</f>
        <v>0.625</v>
      </c>
      <c r="AG15" s="30">
        <f t="shared" si="2"/>
        <v>99.627764200270633</v>
      </c>
      <c r="AH15" s="30">
        <f>BAU!AF15</f>
        <v>23.187993404994479</v>
      </c>
      <c r="AI15" s="30">
        <f t="shared" si="3"/>
        <v>-64.236495156463292</v>
      </c>
      <c r="AJ15" s="4"/>
      <c r="AK15" s="4"/>
      <c r="AL15" s="4"/>
      <c r="AM15" s="1"/>
      <c r="AN15" s="1"/>
      <c r="AO15" s="1"/>
      <c r="AP15" s="1"/>
      <c r="AQ15" s="1"/>
      <c r="AR15" s="1"/>
      <c r="AS15" s="1"/>
      <c r="AT15" s="1"/>
      <c r="AU15" s="1"/>
      <c r="AV15" s="1"/>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row>
    <row r="16" spans="1:114" ht="129.75" customHeight="1" x14ac:dyDescent="0.25">
      <c r="A16" s="3"/>
      <c r="B16" s="4"/>
      <c r="C16" s="4"/>
      <c r="D16" s="4"/>
      <c r="E16" s="4"/>
      <c r="F16" s="4"/>
      <c r="G16" s="4"/>
      <c r="H16" s="4"/>
      <c r="I16" s="4"/>
      <c r="J16" s="4"/>
      <c r="K16" s="4"/>
      <c r="L16" s="182" t="s">
        <v>340</v>
      </c>
      <c r="M16" s="183"/>
      <c r="N16" s="183"/>
      <c r="O16" s="4"/>
      <c r="P16" s="4"/>
      <c r="Q16" s="4"/>
      <c r="R16" s="4"/>
      <c r="S16" s="4"/>
      <c r="T16" s="4"/>
      <c r="U16" s="4"/>
      <c r="V16" s="4"/>
      <c r="W16" s="4"/>
      <c r="X16" s="4"/>
      <c r="Y16" s="4"/>
      <c r="Z16" s="4"/>
      <c r="AA16" s="4"/>
      <c r="AB16" s="4"/>
      <c r="AC16" s="4"/>
      <c r="AD16" s="7"/>
      <c r="AE16" s="7"/>
      <c r="AF16" s="33" t="s">
        <v>78</v>
      </c>
      <c r="AG16" s="88">
        <f>SUM(AG7:AG15)</f>
        <v>886.71292341187564</v>
      </c>
      <c r="AH16" s="108"/>
      <c r="AI16" s="76"/>
      <c r="AJ16" s="4"/>
      <c r="AK16" s="4"/>
      <c r="AL16" s="4"/>
      <c r="AM16" s="1"/>
      <c r="AN16" s="1"/>
      <c r="AO16" s="1"/>
      <c r="AP16" s="1"/>
      <c r="AQ16" s="1"/>
      <c r="AR16" s="1"/>
      <c r="AS16" s="1"/>
      <c r="AT16" s="1"/>
      <c r="AU16" s="1"/>
      <c r="AV16" s="1"/>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row>
    <row r="17" spans="1:114" x14ac:dyDescent="0.2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7"/>
      <c r="AE17" s="7"/>
      <c r="AF17" s="4"/>
      <c r="AG17" s="4"/>
      <c r="AH17" s="4"/>
      <c r="AI17" s="4"/>
      <c r="AJ17" s="4"/>
      <c r="AK17" s="4"/>
      <c r="AL17" s="4"/>
      <c r="AM17" s="1"/>
      <c r="AN17" s="1"/>
      <c r="AO17" s="1"/>
      <c r="AP17" s="1"/>
      <c r="AQ17" s="1"/>
      <c r="AR17" s="1"/>
      <c r="AS17" s="1"/>
      <c r="AT17" s="1"/>
      <c r="AU17" s="1"/>
      <c r="AV17" s="1"/>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row>
    <row r="18" spans="1:114" x14ac:dyDescent="0.2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7"/>
      <c r="AE18" s="7"/>
      <c r="AF18" s="4"/>
      <c r="AG18" s="4"/>
      <c r="AH18" s="4"/>
      <c r="AI18" s="4"/>
      <c r="AJ18" s="4"/>
      <c r="AK18" s="4"/>
      <c r="AL18" s="4"/>
      <c r="AM18" s="1"/>
      <c r="AN18" s="1"/>
      <c r="AO18" s="1"/>
      <c r="AP18" s="1"/>
      <c r="AQ18" s="1"/>
      <c r="AR18" s="1"/>
      <c r="AS18" s="1"/>
      <c r="AT18" s="1"/>
      <c r="AU18" s="1"/>
      <c r="AV18" s="1"/>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row>
    <row r="19" spans="1:114" x14ac:dyDescent="0.25">
      <c r="A19" s="3"/>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7"/>
      <c r="AE19" s="7"/>
      <c r="AF19" s="4"/>
      <c r="AG19" s="4"/>
      <c r="AH19" s="4"/>
      <c r="AI19" s="4"/>
      <c r="AJ19" s="4"/>
      <c r="AK19" s="4"/>
      <c r="AL19" s="4"/>
      <c r="AM19" s="1"/>
      <c r="AN19" s="1"/>
      <c r="AO19" s="1"/>
      <c r="AP19" s="1"/>
      <c r="AQ19" s="1"/>
      <c r="AR19" s="1"/>
      <c r="AS19" s="1"/>
      <c r="AT19" s="1"/>
      <c r="AU19" s="1"/>
      <c r="AV19" s="1"/>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row>
    <row r="20" spans="1:114" x14ac:dyDescent="0.25">
      <c r="A20" s="3"/>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7"/>
      <c r="AE20" s="7"/>
      <c r="AF20" s="4"/>
      <c r="AG20" s="4"/>
      <c r="AH20" s="4"/>
      <c r="AI20" s="4"/>
      <c r="AJ20" s="4"/>
      <c r="AK20" s="4"/>
      <c r="AL20" s="4"/>
      <c r="AM20" s="1"/>
      <c r="AN20" s="1"/>
      <c r="AO20" s="1"/>
      <c r="AP20" s="1"/>
      <c r="AQ20" s="1"/>
      <c r="AR20" s="1"/>
      <c r="AS20" s="1"/>
      <c r="AT20" s="1"/>
      <c r="AU20" s="1"/>
      <c r="AV20" s="1"/>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row>
    <row r="21" spans="1:114" x14ac:dyDescent="0.25">
      <c r="A21" s="3"/>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7"/>
      <c r="AE21" s="7"/>
      <c r="AF21" s="4"/>
      <c r="AG21" s="4"/>
      <c r="AH21" s="4"/>
      <c r="AI21" s="4"/>
      <c r="AJ21" s="4"/>
      <c r="AK21" s="4"/>
      <c r="AL21" s="4"/>
      <c r="AM21" s="1"/>
      <c r="AN21" s="1"/>
      <c r="AO21" s="1"/>
      <c r="AP21" s="1"/>
      <c r="AQ21" s="1"/>
      <c r="AR21" s="1"/>
      <c r="AS21" s="1"/>
      <c r="AT21" s="1"/>
      <c r="AU21" s="1"/>
      <c r="AV21" s="1"/>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row>
    <row r="22" spans="1:114" x14ac:dyDescent="0.25">
      <c r="A22" s="3"/>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7"/>
      <c r="AE22" s="7"/>
      <c r="AF22" s="4"/>
      <c r="AG22" s="4"/>
      <c r="AH22" s="4"/>
      <c r="AI22" s="4"/>
      <c r="AJ22" s="4"/>
      <c r="AK22" s="4"/>
      <c r="AL22" s="4"/>
      <c r="AM22" s="1"/>
      <c r="AN22" s="1"/>
      <c r="AO22" s="1"/>
      <c r="AP22" s="1"/>
      <c r="AQ22" s="1"/>
      <c r="AR22" s="1"/>
      <c r="AS22" s="1"/>
      <c r="AT22" s="1"/>
      <c r="AU22" s="1"/>
      <c r="AV22" s="1"/>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row>
    <row r="23" spans="1:114" x14ac:dyDescent="0.25">
      <c r="A23" s="3"/>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7"/>
      <c r="AE23" s="7"/>
      <c r="AF23" s="4"/>
      <c r="AG23" s="4"/>
      <c r="AH23" s="4"/>
      <c r="AI23" s="4"/>
      <c r="AJ23" s="4"/>
      <c r="AK23" s="4"/>
      <c r="AL23" s="4"/>
      <c r="AM23" s="1"/>
      <c r="AN23" s="1"/>
      <c r="AO23" s="1"/>
      <c r="AP23" s="1"/>
      <c r="AQ23" s="1"/>
      <c r="AR23" s="1"/>
      <c r="AS23" s="1"/>
      <c r="AT23" s="1"/>
      <c r="AU23" s="1"/>
      <c r="AV23" s="1"/>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row>
    <row r="24" spans="1:114" x14ac:dyDescent="0.25">
      <c r="A24" s="3"/>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7"/>
      <c r="AE24" s="7"/>
      <c r="AF24" s="4"/>
      <c r="AG24" s="4"/>
      <c r="AH24" s="4"/>
      <c r="AI24" s="4"/>
      <c r="AJ24" s="4"/>
      <c r="AK24" s="4"/>
      <c r="AL24" s="4"/>
      <c r="AM24" s="1"/>
      <c r="AN24" s="1"/>
      <c r="AO24" s="1"/>
      <c r="AP24" s="1"/>
      <c r="AQ24" s="1"/>
      <c r="AR24" s="1"/>
      <c r="AS24" s="1"/>
      <c r="AT24" s="1"/>
      <c r="AU24" s="1"/>
      <c r="AV24" s="1"/>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row>
    <row r="25" spans="1:114" x14ac:dyDescent="0.25">
      <c r="A25" s="3"/>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7"/>
      <c r="AE25" s="7"/>
      <c r="AF25" s="4"/>
      <c r="AG25" s="4"/>
      <c r="AH25" s="4"/>
      <c r="AI25" s="4"/>
      <c r="AJ25" s="4"/>
      <c r="AK25" s="4"/>
      <c r="AL25" s="4"/>
      <c r="AM25" s="1"/>
      <c r="AN25" s="1"/>
      <c r="AO25" s="1"/>
      <c r="AP25" s="1"/>
      <c r="AQ25" s="1"/>
      <c r="AR25" s="1"/>
      <c r="AS25" s="1"/>
      <c r="AT25" s="1"/>
      <c r="AU25" s="1"/>
      <c r="AV25" s="1"/>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row>
    <row r="26" spans="1:114" x14ac:dyDescent="0.25">
      <c r="A26" s="3"/>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7"/>
      <c r="AE26" s="7"/>
      <c r="AF26" s="4"/>
      <c r="AG26" s="4"/>
      <c r="AH26" s="4"/>
      <c r="AI26" s="4"/>
      <c r="AJ26" s="4"/>
      <c r="AK26" s="4"/>
      <c r="AL26" s="4"/>
      <c r="AM26" s="1"/>
      <c r="AN26" s="1"/>
      <c r="AO26" s="1"/>
      <c r="AP26" s="1"/>
      <c r="AQ26" s="1"/>
      <c r="AR26" s="1"/>
      <c r="AS26" s="1"/>
      <c r="AT26" s="1"/>
      <c r="AU26" s="1"/>
      <c r="AV26" s="1"/>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row>
    <row r="27" spans="1:114" x14ac:dyDescent="0.25">
      <c r="A27" s="3"/>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7"/>
      <c r="AE27" s="7"/>
      <c r="AF27" s="4"/>
      <c r="AG27" s="4"/>
      <c r="AH27" s="4"/>
      <c r="AI27" s="4"/>
      <c r="AJ27" s="4"/>
      <c r="AK27" s="4"/>
      <c r="AL27" s="4"/>
      <c r="AM27" s="1"/>
      <c r="AN27" s="1"/>
      <c r="AO27" s="1"/>
      <c r="AP27" s="1"/>
      <c r="AQ27" s="1"/>
      <c r="AR27" s="1"/>
      <c r="AS27" s="1"/>
      <c r="AT27" s="1"/>
      <c r="AU27" s="1"/>
      <c r="AV27" s="1"/>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row>
    <row r="28" spans="1:114" x14ac:dyDescent="0.25">
      <c r="A28" s="3"/>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7"/>
      <c r="AE28" s="7"/>
      <c r="AF28" s="4"/>
      <c r="AG28" s="4"/>
      <c r="AH28" s="4"/>
      <c r="AI28" s="4"/>
      <c r="AJ28" s="4"/>
      <c r="AK28" s="4"/>
      <c r="AL28" s="4"/>
      <c r="AM28" s="1"/>
      <c r="AN28" s="1"/>
      <c r="AO28" s="1"/>
      <c r="AP28" s="1"/>
      <c r="AQ28" s="1"/>
      <c r="AR28" s="1"/>
      <c r="AS28" s="1"/>
      <c r="AT28" s="1"/>
      <c r="AU28" s="1"/>
      <c r="AV28" s="1"/>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row>
    <row r="29" spans="1:114" x14ac:dyDescent="0.25">
      <c r="A29" s="3"/>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7"/>
      <c r="AE29" s="7"/>
      <c r="AF29" s="4"/>
      <c r="AG29" s="4"/>
      <c r="AH29" s="4"/>
      <c r="AI29" s="4"/>
      <c r="AJ29" s="4"/>
      <c r="AK29" s="4"/>
      <c r="AL29" s="4"/>
      <c r="AM29" s="1"/>
      <c r="AN29" s="1"/>
      <c r="AO29" s="1"/>
      <c r="AP29" s="1"/>
      <c r="AQ29" s="1"/>
      <c r="AR29" s="1"/>
      <c r="AS29" s="1"/>
      <c r="AT29" s="1"/>
      <c r="AU29" s="1"/>
      <c r="AV29" s="1"/>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row>
    <row r="30" spans="1:114" x14ac:dyDescent="0.25">
      <c r="A30" s="3"/>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7"/>
      <c r="AE30" s="7"/>
      <c r="AF30" s="4"/>
      <c r="AG30" s="4"/>
      <c r="AH30" s="4"/>
      <c r="AI30" s="4"/>
      <c r="AJ30" s="4"/>
      <c r="AK30" s="4"/>
      <c r="AL30" s="4"/>
      <c r="AM30" s="1"/>
      <c r="AN30" s="1"/>
      <c r="AO30" s="1"/>
      <c r="AP30" s="1"/>
      <c r="AQ30" s="1"/>
      <c r="AR30" s="1"/>
      <c r="AS30" s="1"/>
      <c r="AT30" s="1"/>
      <c r="AU30" s="1"/>
      <c r="AV30" s="1"/>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row>
    <row r="31" spans="1:114" x14ac:dyDescent="0.25">
      <c r="A31" s="3"/>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7"/>
      <c r="AE31" s="7"/>
      <c r="AF31" s="4"/>
      <c r="AG31" s="4"/>
      <c r="AH31" s="4"/>
      <c r="AI31" s="4"/>
      <c r="AJ31" s="4"/>
      <c r="AK31" s="4"/>
      <c r="AL31" s="4"/>
      <c r="AM31" s="1"/>
      <c r="AN31" s="1"/>
      <c r="AO31" s="1"/>
      <c r="AP31" s="1"/>
      <c r="AQ31" s="1"/>
      <c r="AR31" s="1"/>
      <c r="AS31" s="1"/>
      <c r="AT31" s="1"/>
      <c r="AU31" s="1"/>
      <c r="AV31" s="1"/>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row>
    <row r="32" spans="1:114" x14ac:dyDescent="0.25">
      <c r="A32" s="3"/>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7"/>
      <c r="AE32" s="7"/>
      <c r="AF32" s="4"/>
      <c r="AG32" s="4"/>
      <c r="AH32" s="4"/>
      <c r="AI32" s="4"/>
      <c r="AJ32" s="4"/>
      <c r="AK32" s="4"/>
      <c r="AL32" s="4"/>
      <c r="AM32" s="1"/>
      <c r="AN32" s="1"/>
      <c r="AO32" s="1"/>
      <c r="AP32" s="1"/>
      <c r="AQ32" s="1"/>
      <c r="AR32" s="1"/>
      <c r="AS32" s="1"/>
      <c r="AT32" s="1"/>
      <c r="AU32" s="1"/>
      <c r="AV32" s="1"/>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row>
    <row r="33" spans="1:114" x14ac:dyDescent="0.25">
      <c r="A33" s="3"/>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7"/>
      <c r="AE33" s="7"/>
      <c r="AF33" s="4"/>
      <c r="AG33" s="4"/>
      <c r="AH33" s="4"/>
      <c r="AI33" s="4"/>
      <c r="AJ33" s="4"/>
      <c r="AK33" s="4"/>
      <c r="AL33" s="4"/>
      <c r="AM33" s="1"/>
      <c r="AN33" s="1"/>
      <c r="AO33" s="1"/>
      <c r="AP33" s="1"/>
      <c r="AQ33" s="1"/>
      <c r="AR33" s="1"/>
      <c r="AS33" s="1"/>
      <c r="AT33" s="1"/>
      <c r="AU33" s="1"/>
      <c r="AV33" s="1"/>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row>
    <row r="34" spans="1:114" x14ac:dyDescent="0.25">
      <c r="A34" s="3"/>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7"/>
      <c r="AE34" s="7"/>
      <c r="AF34" s="4"/>
      <c r="AG34" s="4"/>
      <c r="AH34" s="4"/>
      <c r="AI34" s="4"/>
      <c r="AJ34" s="4"/>
      <c r="AK34" s="4"/>
      <c r="AL34" s="4"/>
      <c r="AM34" s="1"/>
      <c r="AN34" s="1"/>
      <c r="AO34" s="1"/>
      <c r="AP34" s="1"/>
      <c r="AQ34" s="1"/>
      <c r="AR34" s="1"/>
      <c r="AS34" s="1"/>
      <c r="AT34" s="1"/>
      <c r="AU34" s="1"/>
      <c r="AV34" s="1"/>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row>
    <row r="35" spans="1:114" x14ac:dyDescent="0.25">
      <c r="A35" s="3"/>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7"/>
      <c r="AE35" s="7"/>
      <c r="AF35" s="4"/>
      <c r="AG35" s="4"/>
      <c r="AH35" s="4"/>
      <c r="AI35" s="4"/>
      <c r="AJ35" s="4"/>
      <c r="AK35" s="4"/>
      <c r="AL35" s="4"/>
      <c r="AM35" s="1"/>
      <c r="AN35" s="1"/>
      <c r="AO35" s="1"/>
      <c r="AP35" s="1"/>
      <c r="AQ35" s="1"/>
      <c r="AR35" s="1"/>
      <c r="AS35" s="1"/>
      <c r="AT35" s="1"/>
      <c r="AU35" s="1"/>
      <c r="AV35" s="1"/>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row>
    <row r="36" spans="1:114" x14ac:dyDescent="0.25">
      <c r="A36" s="3"/>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7"/>
      <c r="AE36" s="7"/>
      <c r="AF36" s="4"/>
      <c r="AG36" s="4"/>
      <c r="AH36" s="4"/>
      <c r="AI36" s="4"/>
      <c r="AJ36" s="4"/>
      <c r="AK36" s="4"/>
      <c r="AL36" s="4"/>
      <c r="AM36" s="1"/>
      <c r="AN36" s="1"/>
      <c r="AO36" s="1"/>
      <c r="AP36" s="1"/>
      <c r="AQ36" s="1"/>
      <c r="AR36" s="1"/>
      <c r="AS36" s="1"/>
      <c r="AT36" s="1"/>
      <c r="AU36" s="1"/>
      <c r="AV36" s="1"/>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row>
    <row r="37" spans="1:114" x14ac:dyDescent="0.25">
      <c r="A37" s="3"/>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7"/>
      <c r="AE37" s="7"/>
      <c r="AF37" s="4"/>
      <c r="AG37" s="4"/>
      <c r="AH37" s="4"/>
      <c r="AI37" s="4"/>
      <c r="AJ37" s="4"/>
      <c r="AK37" s="4"/>
      <c r="AL37" s="4"/>
      <c r="AM37" s="1"/>
      <c r="AN37" s="1"/>
      <c r="AO37" s="1"/>
      <c r="AP37" s="1"/>
      <c r="AQ37" s="1"/>
      <c r="AR37" s="1"/>
      <c r="AS37" s="1"/>
      <c r="AT37" s="1"/>
      <c r="AU37" s="1"/>
      <c r="AV37" s="1"/>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row>
    <row r="38" spans="1:114" x14ac:dyDescent="0.25">
      <c r="A38" s="3"/>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7"/>
      <c r="AE38" s="7"/>
      <c r="AF38" s="4"/>
      <c r="AG38" s="4"/>
      <c r="AH38" s="4"/>
      <c r="AI38" s="4"/>
      <c r="AJ38" s="4"/>
      <c r="AK38" s="4"/>
      <c r="AL38" s="4"/>
      <c r="AM38" s="1"/>
      <c r="AN38" s="1"/>
      <c r="AO38" s="1"/>
      <c r="AP38" s="1"/>
      <c r="AQ38" s="1"/>
      <c r="AR38" s="1"/>
      <c r="AS38" s="1"/>
      <c r="AT38" s="1"/>
      <c r="AU38" s="1"/>
      <c r="AV38" s="1"/>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row>
    <row r="39" spans="1:114" x14ac:dyDescent="0.25">
      <c r="A39" s="3"/>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7"/>
      <c r="AE39" s="7"/>
      <c r="AF39" s="4"/>
      <c r="AG39" s="4"/>
      <c r="AH39" s="4"/>
      <c r="AI39" s="4"/>
      <c r="AJ39" s="4"/>
      <c r="AK39" s="4"/>
      <c r="AL39" s="4"/>
      <c r="AM39" s="1"/>
      <c r="AN39" s="1"/>
      <c r="AO39" s="1"/>
      <c r="AP39" s="1"/>
      <c r="AQ39" s="1"/>
      <c r="AR39" s="1"/>
      <c r="AS39" s="1"/>
      <c r="AT39" s="1"/>
      <c r="AU39" s="1"/>
      <c r="AV39" s="1"/>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row>
    <row r="40" spans="1:114" x14ac:dyDescent="0.25">
      <c r="A40" s="3"/>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7"/>
      <c r="AE40" s="7"/>
      <c r="AF40" s="4"/>
      <c r="AG40" s="4"/>
      <c r="AH40" s="4"/>
      <c r="AI40" s="4"/>
      <c r="AJ40" s="4"/>
      <c r="AK40" s="4"/>
      <c r="AL40" s="4"/>
      <c r="AM40" s="1"/>
      <c r="AN40" s="1"/>
      <c r="AO40" s="1"/>
      <c r="AP40" s="1"/>
      <c r="AQ40" s="1"/>
      <c r="AR40" s="1"/>
      <c r="AS40" s="1"/>
      <c r="AT40" s="1"/>
      <c r="AU40" s="1"/>
      <c r="AV40" s="1"/>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row>
    <row r="41" spans="1:114" x14ac:dyDescent="0.25">
      <c r="A41" s="3"/>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7"/>
      <c r="AE41" s="7"/>
      <c r="AF41" s="4"/>
      <c r="AG41" s="4"/>
      <c r="AH41" s="4"/>
      <c r="AI41" s="4"/>
      <c r="AJ41" s="4"/>
      <c r="AK41" s="4"/>
      <c r="AL41" s="4"/>
      <c r="AM41" s="1"/>
      <c r="AN41" s="1"/>
      <c r="AO41" s="1"/>
      <c r="AP41" s="1"/>
      <c r="AQ41" s="1"/>
      <c r="AR41" s="1"/>
      <c r="AS41" s="1"/>
      <c r="AT41" s="1"/>
      <c r="AU41" s="1"/>
      <c r="AV41" s="1"/>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row>
    <row r="42" spans="1:114" x14ac:dyDescent="0.25">
      <c r="A42" s="3"/>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7"/>
      <c r="AE42" s="7"/>
      <c r="AF42" s="4"/>
      <c r="AG42" s="4"/>
      <c r="AH42" s="4"/>
      <c r="AI42" s="4"/>
      <c r="AJ42" s="4"/>
      <c r="AK42" s="4"/>
      <c r="AL42" s="4"/>
      <c r="AM42" s="1"/>
      <c r="AN42" s="1"/>
      <c r="AO42" s="1"/>
      <c r="AP42" s="1"/>
      <c r="AQ42" s="1"/>
      <c r="AR42" s="1"/>
      <c r="AS42" s="1"/>
      <c r="AT42" s="1"/>
      <c r="AU42" s="1"/>
      <c r="AV42" s="1"/>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row>
    <row r="43" spans="1:114" x14ac:dyDescent="0.25">
      <c r="A43" s="3"/>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7"/>
      <c r="AE43" s="7"/>
      <c r="AF43" s="4"/>
      <c r="AG43" s="4"/>
      <c r="AH43" s="4"/>
      <c r="AI43" s="4"/>
      <c r="AJ43" s="4"/>
      <c r="AK43" s="4"/>
      <c r="AL43" s="4"/>
      <c r="AM43" s="1"/>
      <c r="AN43" s="1"/>
      <c r="AO43" s="1"/>
      <c r="AP43" s="1"/>
      <c r="AQ43" s="1"/>
      <c r="AR43" s="1"/>
      <c r="AS43" s="1"/>
      <c r="AT43" s="1"/>
      <c r="AU43" s="1"/>
      <c r="AV43" s="1"/>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row>
    <row r="44" spans="1:114" x14ac:dyDescent="0.25">
      <c r="A44" s="3"/>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7"/>
      <c r="AE44" s="7"/>
      <c r="AF44" s="4"/>
      <c r="AG44" s="4"/>
      <c r="AH44" s="4"/>
      <c r="AI44" s="4"/>
      <c r="AJ44" s="4"/>
      <c r="AK44" s="4"/>
      <c r="AL44" s="4"/>
      <c r="AM44" s="1"/>
      <c r="AN44" s="1"/>
      <c r="AO44" s="1"/>
      <c r="AP44" s="1"/>
      <c r="AQ44" s="1"/>
      <c r="AR44" s="1"/>
      <c r="AS44" s="1"/>
      <c r="AT44" s="1"/>
      <c r="AU44" s="1"/>
      <c r="AV44" s="1"/>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row>
    <row r="45" spans="1:114" x14ac:dyDescent="0.25">
      <c r="A45" s="3"/>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7"/>
      <c r="AE45" s="7"/>
      <c r="AF45" s="4"/>
      <c r="AG45" s="4"/>
      <c r="AH45" s="4"/>
      <c r="AI45" s="4"/>
      <c r="AJ45" s="4"/>
      <c r="AK45" s="4"/>
      <c r="AL45" s="4"/>
      <c r="AM45" s="1"/>
      <c r="AN45" s="1"/>
      <c r="AO45" s="1"/>
      <c r="AP45" s="1"/>
      <c r="AQ45" s="1"/>
      <c r="AR45" s="1"/>
      <c r="AS45" s="1"/>
      <c r="AT45" s="1"/>
      <c r="AU45" s="1"/>
      <c r="AV45" s="1"/>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row>
    <row r="46" spans="1:114" x14ac:dyDescent="0.25">
      <c r="A46" s="3"/>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7"/>
      <c r="AE46" s="7"/>
      <c r="AF46" s="4"/>
      <c r="AG46" s="4"/>
      <c r="AH46" s="4"/>
      <c r="AI46" s="4"/>
      <c r="AJ46" s="4"/>
      <c r="AK46" s="4"/>
      <c r="AL46" s="4"/>
      <c r="AM46" s="1"/>
      <c r="AN46" s="1"/>
      <c r="AO46" s="1"/>
      <c r="AP46" s="1"/>
      <c r="AQ46" s="1"/>
      <c r="AR46" s="1"/>
      <c r="AS46" s="1"/>
      <c r="AT46" s="1"/>
      <c r="AU46" s="1"/>
      <c r="AV46" s="1"/>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row>
    <row r="47" spans="1:114" x14ac:dyDescent="0.25">
      <c r="A47" s="3"/>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7"/>
      <c r="AE47" s="7"/>
      <c r="AF47" s="4"/>
      <c r="AG47" s="4"/>
      <c r="AH47" s="4"/>
      <c r="AI47" s="4"/>
      <c r="AJ47" s="4"/>
      <c r="AK47" s="4"/>
      <c r="AL47" s="4"/>
      <c r="AM47" s="1"/>
      <c r="AN47" s="1"/>
      <c r="AO47" s="1"/>
      <c r="AP47" s="1"/>
      <c r="AQ47" s="1"/>
      <c r="AR47" s="1"/>
      <c r="AS47" s="1"/>
      <c r="AT47" s="1"/>
      <c r="AU47" s="1"/>
      <c r="AV47" s="1"/>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row>
    <row r="48" spans="1:114" x14ac:dyDescent="0.25">
      <c r="A48" s="3"/>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7"/>
      <c r="AE48" s="7"/>
      <c r="AF48" s="4"/>
      <c r="AG48" s="4"/>
      <c r="AH48" s="4"/>
      <c r="AI48" s="4"/>
      <c r="AJ48" s="4"/>
      <c r="AK48" s="4"/>
      <c r="AL48" s="4"/>
      <c r="AM48" s="1"/>
      <c r="AN48" s="1"/>
      <c r="AO48" s="1"/>
      <c r="AP48" s="1"/>
      <c r="AQ48" s="1"/>
      <c r="AR48" s="1"/>
      <c r="AS48" s="1"/>
      <c r="AT48" s="1"/>
      <c r="AU48" s="1"/>
      <c r="AV48" s="1"/>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row>
    <row r="49" spans="1:114" x14ac:dyDescent="0.25">
      <c r="A49" s="3"/>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7"/>
      <c r="AE49" s="7"/>
      <c r="AF49" s="4"/>
      <c r="AG49" s="4"/>
      <c r="AH49" s="4"/>
      <c r="AI49" s="4"/>
      <c r="AJ49" s="4"/>
      <c r="AK49" s="4"/>
      <c r="AL49" s="4"/>
      <c r="AM49" s="1"/>
      <c r="AN49" s="1"/>
      <c r="AO49" s="1"/>
      <c r="AP49" s="1"/>
      <c r="AQ49" s="1"/>
      <c r="AR49" s="1"/>
      <c r="AS49" s="1"/>
      <c r="AT49" s="1"/>
      <c r="AU49" s="1"/>
      <c r="AV49" s="1"/>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row>
    <row r="50" spans="1:114" x14ac:dyDescent="0.25">
      <c r="A50" s="3"/>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7"/>
      <c r="AE50" s="7"/>
      <c r="AF50" s="4"/>
      <c r="AG50" s="4"/>
      <c r="AH50" s="4"/>
      <c r="AI50" s="4"/>
      <c r="AJ50" s="4"/>
      <c r="AK50" s="4"/>
      <c r="AL50" s="4"/>
      <c r="AM50" s="1"/>
      <c r="AN50" s="1"/>
      <c r="AO50" s="1"/>
      <c r="AP50" s="1"/>
      <c r="AQ50" s="1"/>
      <c r="AR50" s="1"/>
      <c r="AS50" s="1"/>
      <c r="AT50" s="1"/>
      <c r="AU50" s="1"/>
      <c r="AV50" s="1"/>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row>
    <row r="51" spans="1:114" x14ac:dyDescent="0.25">
      <c r="A51" s="3"/>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7"/>
      <c r="AE51" s="7"/>
      <c r="AF51" s="4"/>
      <c r="AG51" s="4"/>
      <c r="AH51" s="4"/>
      <c r="AI51" s="4"/>
      <c r="AJ51" s="4"/>
      <c r="AK51" s="4"/>
      <c r="AL51" s="4"/>
      <c r="AM51" s="1"/>
      <c r="AN51" s="1"/>
      <c r="AO51" s="1"/>
      <c r="AP51" s="1"/>
      <c r="AQ51" s="1"/>
      <c r="AR51" s="1"/>
      <c r="AS51" s="1"/>
      <c r="AT51" s="1"/>
      <c r="AU51" s="1"/>
      <c r="AV51" s="1"/>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row>
    <row r="52" spans="1:114" x14ac:dyDescent="0.25">
      <c r="A52" s="3"/>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7"/>
      <c r="AE52" s="7"/>
      <c r="AF52" s="4"/>
      <c r="AG52" s="4"/>
      <c r="AH52" s="4"/>
      <c r="AI52" s="4"/>
      <c r="AJ52" s="4"/>
      <c r="AK52" s="4"/>
      <c r="AL52" s="4"/>
      <c r="AM52" s="1"/>
      <c r="AN52" s="1"/>
      <c r="AO52" s="1"/>
      <c r="AP52" s="1"/>
      <c r="AQ52" s="1"/>
      <c r="AR52" s="1"/>
      <c r="AS52" s="1"/>
      <c r="AT52" s="1"/>
      <c r="AU52" s="1"/>
      <c r="AV52" s="1"/>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row>
    <row r="53" spans="1:114" x14ac:dyDescent="0.25">
      <c r="A53" s="3"/>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7"/>
      <c r="AE53" s="7"/>
      <c r="AF53" s="4"/>
      <c r="AG53" s="4"/>
      <c r="AH53" s="4"/>
      <c r="AI53" s="4"/>
      <c r="AJ53" s="4"/>
      <c r="AK53" s="4"/>
      <c r="AL53" s="4"/>
      <c r="AM53" s="1"/>
      <c r="AN53" s="1"/>
      <c r="AO53" s="1"/>
      <c r="AP53" s="1"/>
      <c r="AQ53" s="1"/>
      <c r="AR53" s="1"/>
      <c r="AS53" s="1"/>
      <c r="AT53" s="1"/>
      <c r="AU53" s="1"/>
      <c r="AV53" s="1"/>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row>
    <row r="54" spans="1:114" x14ac:dyDescent="0.25">
      <c r="A54" s="3"/>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7"/>
      <c r="AE54" s="7"/>
      <c r="AF54" s="4"/>
      <c r="AG54" s="4"/>
      <c r="AH54" s="4"/>
      <c r="AI54" s="4"/>
      <c r="AJ54" s="4"/>
      <c r="AK54" s="4"/>
      <c r="AL54" s="4"/>
      <c r="AM54" s="1"/>
      <c r="AN54" s="1"/>
      <c r="AO54" s="1"/>
      <c r="AP54" s="1"/>
      <c r="AQ54" s="1"/>
      <c r="AR54" s="1"/>
      <c r="AS54" s="1"/>
      <c r="AT54" s="1"/>
      <c r="AU54" s="1"/>
      <c r="AV54" s="1"/>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row>
    <row r="55" spans="1:114" x14ac:dyDescent="0.25">
      <c r="A55" s="3"/>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7"/>
      <c r="AE55" s="7"/>
      <c r="AF55" s="4"/>
      <c r="AG55" s="4"/>
      <c r="AH55" s="4"/>
      <c r="AI55" s="4"/>
      <c r="AJ55" s="4"/>
      <c r="AK55" s="4"/>
      <c r="AL55" s="4"/>
      <c r="AM55" s="1"/>
      <c r="AN55" s="1"/>
      <c r="AO55" s="1"/>
      <c r="AP55" s="1"/>
      <c r="AQ55" s="1"/>
      <c r="AR55" s="1"/>
      <c r="AS55" s="1"/>
      <c r="AT55" s="1"/>
      <c r="AU55" s="1"/>
      <c r="AV55" s="1"/>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row>
    <row r="56" spans="1:114" x14ac:dyDescent="0.25">
      <c r="A56" s="3"/>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7"/>
      <c r="AE56" s="7"/>
      <c r="AF56" s="4"/>
      <c r="AG56" s="4"/>
      <c r="AH56" s="4"/>
      <c r="AI56" s="4"/>
      <c r="AJ56" s="4"/>
      <c r="AK56" s="4"/>
      <c r="AL56" s="4"/>
      <c r="AM56" s="1"/>
      <c r="AN56" s="1"/>
      <c r="AO56" s="1"/>
      <c r="AP56" s="1"/>
      <c r="AQ56" s="1"/>
      <c r="AR56" s="1"/>
      <c r="AS56" s="1"/>
      <c r="AT56" s="1"/>
      <c r="AU56" s="1"/>
      <c r="AV56" s="1"/>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row>
    <row r="57" spans="1:114" x14ac:dyDescent="0.25">
      <c r="A57" s="3"/>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7"/>
      <c r="AE57" s="7"/>
      <c r="AF57" s="4"/>
      <c r="AG57" s="4"/>
      <c r="AH57" s="4"/>
      <c r="AI57" s="4"/>
      <c r="AJ57" s="4"/>
      <c r="AK57" s="4"/>
      <c r="AL57" s="4"/>
      <c r="AM57" s="1"/>
      <c r="AN57" s="1"/>
      <c r="AO57" s="1"/>
      <c r="AP57" s="1"/>
      <c r="AQ57" s="1"/>
      <c r="AR57" s="1"/>
      <c r="AS57" s="1"/>
      <c r="AT57" s="1"/>
      <c r="AU57" s="1"/>
      <c r="AV57" s="1"/>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row>
    <row r="58" spans="1:114" x14ac:dyDescent="0.25">
      <c r="A58" s="3"/>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7"/>
      <c r="AE58" s="7"/>
      <c r="AF58" s="4"/>
      <c r="AG58" s="4"/>
      <c r="AH58" s="4"/>
      <c r="AI58" s="4"/>
      <c r="AJ58" s="4"/>
      <c r="AK58" s="4"/>
      <c r="AL58" s="4"/>
      <c r="AM58" s="1"/>
      <c r="AN58" s="1"/>
      <c r="AO58" s="1"/>
      <c r="AP58" s="1"/>
      <c r="AQ58" s="1"/>
      <c r="AR58" s="1"/>
      <c r="AS58" s="1"/>
      <c r="AT58" s="1"/>
      <c r="AU58" s="1"/>
      <c r="AV58" s="1"/>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row>
    <row r="59" spans="1:114" x14ac:dyDescent="0.25">
      <c r="A59" s="3"/>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7"/>
      <c r="AE59" s="7"/>
      <c r="AF59" s="4"/>
      <c r="AG59" s="4"/>
      <c r="AH59" s="4"/>
      <c r="AI59" s="4"/>
      <c r="AJ59" s="4"/>
      <c r="AK59" s="4"/>
      <c r="AL59" s="4"/>
      <c r="AM59" s="1"/>
      <c r="AN59" s="1"/>
      <c r="AO59" s="1"/>
      <c r="AP59" s="1"/>
      <c r="AQ59" s="1"/>
      <c r="AR59" s="1"/>
      <c r="AS59" s="1"/>
      <c r="AT59" s="1"/>
      <c r="AU59" s="1"/>
      <c r="AV59" s="1"/>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row>
    <row r="60" spans="1:114" x14ac:dyDescent="0.25">
      <c r="A60" s="3"/>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7"/>
      <c r="AE60" s="7"/>
      <c r="AF60" s="4"/>
      <c r="AG60" s="4"/>
      <c r="AH60" s="4"/>
      <c r="AI60" s="4"/>
      <c r="AJ60" s="4"/>
      <c r="AK60" s="4"/>
      <c r="AL60" s="4"/>
      <c r="AM60" s="1"/>
      <c r="AN60" s="1"/>
      <c r="AO60" s="1"/>
      <c r="AP60" s="1"/>
      <c r="AQ60" s="1"/>
      <c r="AR60" s="1"/>
      <c r="AS60" s="1"/>
      <c r="AT60" s="1"/>
      <c r="AU60" s="1"/>
      <c r="AV60" s="1"/>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row>
    <row r="61" spans="1:114" x14ac:dyDescent="0.25">
      <c r="A61" s="3"/>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7"/>
      <c r="AE61" s="7"/>
      <c r="AF61" s="4"/>
      <c r="AG61" s="4"/>
      <c r="AH61" s="4"/>
      <c r="AI61" s="4"/>
      <c r="AJ61" s="4"/>
      <c r="AK61" s="4"/>
      <c r="AL61" s="4"/>
      <c r="AM61" s="1"/>
      <c r="AN61" s="1"/>
      <c r="AO61" s="1"/>
      <c r="AP61" s="1"/>
      <c r="AQ61" s="1"/>
      <c r="AR61" s="1"/>
      <c r="AS61" s="1"/>
      <c r="AT61" s="1"/>
      <c r="AU61" s="1"/>
      <c r="AV61" s="1"/>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row>
    <row r="62" spans="1:114" x14ac:dyDescent="0.25">
      <c r="A62" s="3"/>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7"/>
      <c r="AE62" s="7"/>
      <c r="AF62" s="4"/>
      <c r="AG62" s="4"/>
      <c r="AH62" s="4"/>
      <c r="AI62" s="4"/>
      <c r="AJ62" s="4"/>
      <c r="AK62" s="4"/>
      <c r="AL62" s="4"/>
      <c r="AM62" s="1"/>
      <c r="AN62" s="1"/>
      <c r="AO62" s="1"/>
      <c r="AP62" s="1"/>
      <c r="AQ62" s="1"/>
      <c r="AR62" s="1"/>
      <c r="AS62" s="1"/>
      <c r="AT62" s="1"/>
      <c r="AU62" s="1"/>
      <c r="AV62" s="1"/>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row>
    <row r="63" spans="1:114" x14ac:dyDescent="0.25">
      <c r="A63" s="3"/>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7"/>
      <c r="AE63" s="7"/>
      <c r="AF63" s="4"/>
      <c r="AG63" s="4"/>
      <c r="AH63" s="4"/>
      <c r="AI63" s="4"/>
      <c r="AJ63" s="4"/>
      <c r="AK63" s="4"/>
      <c r="AL63" s="4"/>
      <c r="AM63" s="1"/>
      <c r="AN63" s="1"/>
      <c r="AO63" s="1"/>
      <c r="AP63" s="1"/>
      <c r="AQ63" s="1"/>
      <c r="AR63" s="1"/>
      <c r="AS63" s="1"/>
      <c r="AT63" s="1"/>
      <c r="AU63" s="1"/>
      <c r="AV63" s="1"/>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row>
    <row r="64" spans="1:114" x14ac:dyDescent="0.25">
      <c r="A64" s="3"/>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7"/>
      <c r="AE64" s="7"/>
      <c r="AF64" s="4"/>
      <c r="AG64" s="4"/>
      <c r="AH64" s="4"/>
      <c r="AI64" s="4"/>
      <c r="AJ64" s="4"/>
      <c r="AK64" s="4"/>
      <c r="AL64" s="4"/>
      <c r="AM64" s="1"/>
      <c r="AN64" s="1"/>
      <c r="AO64" s="1"/>
      <c r="AP64" s="1"/>
      <c r="AQ64" s="1"/>
      <c r="AR64" s="1"/>
      <c r="AS64" s="1"/>
      <c r="AT64" s="1"/>
      <c r="AU64" s="1"/>
      <c r="AV64" s="1"/>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row>
    <row r="65" spans="1:114" x14ac:dyDescent="0.25">
      <c r="A65" s="3"/>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7"/>
      <c r="AE65" s="7"/>
      <c r="AF65" s="4"/>
      <c r="AG65" s="4"/>
      <c r="AH65" s="4"/>
      <c r="AI65" s="4"/>
      <c r="AJ65" s="4"/>
      <c r="AK65" s="4"/>
      <c r="AL65" s="4"/>
      <c r="AM65" s="1"/>
      <c r="AN65" s="1"/>
      <c r="AO65" s="1"/>
      <c r="AP65" s="1"/>
      <c r="AQ65" s="1"/>
      <c r="AR65" s="1"/>
      <c r="AS65" s="1"/>
      <c r="AT65" s="1"/>
      <c r="AU65" s="1"/>
      <c r="AV65" s="1"/>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row>
    <row r="66" spans="1:114" x14ac:dyDescent="0.25">
      <c r="A66" s="3"/>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7"/>
      <c r="AE66" s="7"/>
      <c r="AF66" s="4"/>
      <c r="AG66" s="4"/>
      <c r="AH66" s="4"/>
      <c r="AI66" s="4"/>
      <c r="AJ66" s="4"/>
      <c r="AK66" s="4"/>
      <c r="AL66" s="4"/>
      <c r="AM66" s="1"/>
      <c r="AN66" s="1"/>
      <c r="AO66" s="1"/>
      <c r="AP66" s="1"/>
      <c r="AQ66" s="1"/>
      <c r="AR66" s="1"/>
      <c r="AS66" s="1"/>
      <c r="AT66" s="1"/>
      <c r="AU66" s="1"/>
      <c r="AV66" s="1"/>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row>
    <row r="67" spans="1:114" x14ac:dyDescent="0.25">
      <c r="A67" s="3"/>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7"/>
      <c r="AE67" s="7"/>
      <c r="AF67" s="4"/>
      <c r="AG67" s="4"/>
      <c r="AH67" s="4"/>
      <c r="AI67" s="4"/>
      <c r="AJ67" s="4"/>
      <c r="AK67" s="4"/>
      <c r="AL67" s="4"/>
      <c r="AM67" s="1"/>
      <c r="AN67" s="1"/>
      <c r="AO67" s="1"/>
      <c r="AP67" s="1"/>
      <c r="AQ67" s="1"/>
      <c r="AR67" s="1"/>
      <c r="AS67" s="1"/>
      <c r="AT67" s="1"/>
      <c r="AU67" s="1"/>
      <c r="AV67" s="1"/>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row>
    <row r="68" spans="1:114" x14ac:dyDescent="0.25">
      <c r="A68" s="3"/>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7"/>
      <c r="AE68" s="7"/>
      <c r="AF68" s="4"/>
      <c r="AG68" s="4"/>
      <c r="AH68" s="4"/>
      <c r="AI68" s="4"/>
      <c r="AJ68" s="4"/>
      <c r="AK68" s="4"/>
      <c r="AL68" s="4"/>
      <c r="AM68" s="1"/>
      <c r="AN68" s="1"/>
      <c r="AO68" s="1"/>
      <c r="AP68" s="1"/>
      <c r="AQ68" s="1"/>
      <c r="AR68" s="1"/>
      <c r="AS68" s="1"/>
      <c r="AT68" s="1"/>
      <c r="AU68" s="1"/>
      <c r="AV68" s="1"/>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row>
    <row r="69" spans="1:114" x14ac:dyDescent="0.25">
      <c r="A69" s="3"/>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7"/>
      <c r="AE69" s="7"/>
      <c r="AF69" s="4"/>
      <c r="AG69" s="4"/>
      <c r="AH69" s="4"/>
      <c r="AI69" s="4"/>
      <c r="AJ69" s="4"/>
      <c r="AK69" s="4"/>
      <c r="AL69" s="4"/>
      <c r="AM69" s="1"/>
      <c r="AN69" s="1"/>
      <c r="AO69" s="1"/>
      <c r="AP69" s="1"/>
      <c r="AQ69" s="1"/>
      <c r="AR69" s="1"/>
      <c r="AS69" s="1"/>
      <c r="AT69" s="1"/>
      <c r="AU69" s="1"/>
      <c r="AV69" s="1"/>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row>
    <row r="70" spans="1:114" x14ac:dyDescent="0.25">
      <c r="A70" s="3"/>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7"/>
      <c r="AE70" s="7"/>
      <c r="AF70" s="4"/>
      <c r="AG70" s="4"/>
      <c r="AH70" s="4"/>
      <c r="AI70" s="4"/>
      <c r="AJ70" s="4"/>
      <c r="AK70" s="4"/>
      <c r="AL70" s="4"/>
      <c r="AM70" s="1"/>
      <c r="AN70" s="1"/>
      <c r="AO70" s="1"/>
      <c r="AP70" s="1"/>
      <c r="AQ70" s="1"/>
      <c r="AR70" s="1"/>
      <c r="AS70" s="1"/>
      <c r="AT70" s="1"/>
      <c r="AU70" s="1"/>
      <c r="AV70" s="1"/>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row>
    <row r="71" spans="1:114" x14ac:dyDescent="0.25">
      <c r="A71" s="3"/>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7"/>
      <c r="AE71" s="7"/>
      <c r="AF71" s="4"/>
      <c r="AG71" s="4"/>
      <c r="AH71" s="4"/>
      <c r="AI71" s="4"/>
      <c r="AJ71" s="4"/>
      <c r="AK71" s="4"/>
      <c r="AL71" s="4"/>
      <c r="AM71" s="1"/>
      <c r="AN71" s="1"/>
      <c r="AO71" s="1"/>
      <c r="AP71" s="1"/>
      <c r="AQ71" s="1"/>
      <c r="AR71" s="1"/>
      <c r="AS71" s="1"/>
      <c r="AT71" s="1"/>
      <c r="AU71" s="1"/>
      <c r="AV71" s="1"/>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row>
    <row r="72" spans="1:114" x14ac:dyDescent="0.25">
      <c r="A72" s="3"/>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7"/>
      <c r="AE72" s="7"/>
      <c r="AF72" s="4"/>
      <c r="AG72" s="4"/>
      <c r="AH72" s="4"/>
      <c r="AI72" s="4"/>
      <c r="AJ72" s="4"/>
      <c r="AK72" s="4"/>
      <c r="AL72" s="4"/>
      <c r="AM72" s="1"/>
      <c r="AN72" s="1"/>
      <c r="AO72" s="1"/>
      <c r="AP72" s="1"/>
      <c r="AQ72" s="1"/>
      <c r="AR72" s="1"/>
      <c r="AS72" s="1"/>
      <c r="AT72" s="1"/>
      <c r="AU72" s="1"/>
      <c r="AV72" s="1"/>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row>
    <row r="73" spans="1:114" x14ac:dyDescent="0.25">
      <c r="A73" s="3"/>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7"/>
      <c r="AE73" s="7"/>
      <c r="AF73" s="4"/>
      <c r="AG73" s="4"/>
      <c r="AH73" s="4"/>
      <c r="AI73" s="4"/>
      <c r="AJ73" s="4"/>
      <c r="AK73" s="4"/>
      <c r="AL73" s="4"/>
      <c r="AM73" s="1"/>
      <c r="AN73" s="1"/>
      <c r="AO73" s="1"/>
      <c r="AP73" s="1"/>
      <c r="AQ73" s="1"/>
      <c r="AR73" s="1"/>
      <c r="AS73" s="1"/>
      <c r="AT73" s="1"/>
      <c r="AU73" s="1"/>
      <c r="AV73" s="1"/>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row>
    <row r="74" spans="1:114" x14ac:dyDescent="0.25">
      <c r="A74" s="3"/>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7"/>
      <c r="AE74" s="7"/>
      <c r="AF74" s="4"/>
      <c r="AG74" s="4"/>
      <c r="AH74" s="4"/>
      <c r="AI74" s="4"/>
      <c r="AJ74" s="4"/>
      <c r="AK74" s="4"/>
      <c r="AL74" s="4"/>
      <c r="AM74" s="1"/>
      <c r="AN74" s="1"/>
      <c r="AO74" s="1"/>
      <c r="AP74" s="1"/>
      <c r="AQ74" s="1"/>
      <c r="AR74" s="1"/>
      <c r="AS74" s="1"/>
      <c r="AT74" s="1"/>
      <c r="AU74" s="1"/>
      <c r="AV74" s="1"/>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row>
    <row r="75" spans="1:114" x14ac:dyDescent="0.25">
      <c r="A75" s="3"/>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7"/>
      <c r="AE75" s="7"/>
      <c r="AF75" s="4"/>
      <c r="AG75" s="4"/>
      <c r="AH75" s="4"/>
      <c r="AI75" s="4"/>
      <c r="AJ75" s="4"/>
      <c r="AK75" s="4"/>
      <c r="AL75" s="4"/>
      <c r="AM75" s="1"/>
      <c r="AN75" s="1"/>
      <c r="AO75" s="1"/>
      <c r="AP75" s="1"/>
      <c r="AQ75" s="1"/>
      <c r="AR75" s="1"/>
      <c r="AS75" s="1"/>
      <c r="AT75" s="1"/>
      <c r="AU75" s="1"/>
      <c r="AV75" s="1"/>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row>
    <row r="76" spans="1:114" x14ac:dyDescent="0.25">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7"/>
      <c r="AE76" s="7"/>
      <c r="AF76" s="4"/>
      <c r="AG76" s="4"/>
      <c r="AH76" s="4"/>
      <c r="AI76" s="4"/>
      <c r="AJ76" s="4"/>
      <c r="AK76" s="4"/>
      <c r="AL76" s="4"/>
      <c r="AM76" s="1"/>
      <c r="AN76" s="1"/>
      <c r="AO76" s="1"/>
      <c r="AP76" s="1"/>
      <c r="AQ76" s="1"/>
      <c r="AR76" s="1"/>
      <c r="AS76" s="1"/>
      <c r="AT76" s="1"/>
      <c r="AU76" s="1"/>
      <c r="AV76" s="1"/>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row>
    <row r="77" spans="1:114" x14ac:dyDescent="0.25">
      <c r="A77" s="3"/>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7"/>
      <c r="AE77" s="7"/>
      <c r="AF77" s="4"/>
      <c r="AG77" s="4"/>
      <c r="AH77" s="4"/>
      <c r="AI77" s="4"/>
      <c r="AJ77" s="4"/>
      <c r="AK77" s="4"/>
      <c r="AL77" s="4"/>
      <c r="AM77" s="1"/>
      <c r="AN77" s="1"/>
      <c r="AO77" s="1"/>
      <c r="AP77" s="1"/>
      <c r="AQ77" s="1"/>
      <c r="AR77" s="1"/>
      <c r="AS77" s="1"/>
      <c r="AT77" s="1"/>
      <c r="AU77" s="1"/>
      <c r="AV77" s="1"/>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row>
    <row r="78" spans="1:114" x14ac:dyDescent="0.25">
      <c r="A78" s="3"/>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7"/>
      <c r="AE78" s="7"/>
      <c r="AF78" s="4"/>
      <c r="AG78" s="4"/>
      <c r="AH78" s="4"/>
      <c r="AI78" s="4"/>
      <c r="AJ78" s="4"/>
      <c r="AK78" s="4"/>
      <c r="AL78" s="4"/>
      <c r="AM78" s="1"/>
      <c r="AN78" s="1"/>
      <c r="AO78" s="1"/>
      <c r="AP78" s="1"/>
      <c r="AQ78" s="1"/>
      <c r="AR78" s="1"/>
      <c r="AS78" s="1"/>
      <c r="AT78" s="1"/>
      <c r="AU78" s="1"/>
      <c r="AV78" s="1"/>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row>
    <row r="79" spans="1:114" x14ac:dyDescent="0.25">
      <c r="A79" s="3"/>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7"/>
      <c r="AE79" s="7"/>
      <c r="AF79" s="4"/>
      <c r="AG79" s="4"/>
      <c r="AH79" s="4"/>
      <c r="AI79" s="4"/>
      <c r="AJ79" s="4"/>
      <c r="AK79" s="4"/>
      <c r="AL79" s="4"/>
      <c r="AM79" s="1"/>
      <c r="AN79" s="1"/>
      <c r="AO79" s="1"/>
      <c r="AP79" s="1"/>
      <c r="AQ79" s="1"/>
      <c r="AR79" s="1"/>
      <c r="AS79" s="1"/>
      <c r="AT79" s="1"/>
      <c r="AU79" s="1"/>
      <c r="AV79" s="1"/>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row>
    <row r="80" spans="1:114" x14ac:dyDescent="0.25">
      <c r="A80" s="3"/>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7"/>
      <c r="AE80" s="7"/>
      <c r="AF80" s="4"/>
      <c r="AG80" s="4"/>
      <c r="AH80" s="4"/>
      <c r="AI80" s="4"/>
      <c r="AJ80" s="4"/>
      <c r="AK80" s="4"/>
      <c r="AL80" s="4"/>
      <c r="AM80" s="1"/>
      <c r="AN80" s="1"/>
      <c r="AO80" s="1"/>
      <c r="AP80" s="1"/>
      <c r="AQ80" s="1"/>
      <c r="AR80" s="1"/>
      <c r="AS80" s="1"/>
      <c r="AT80" s="1"/>
      <c r="AU80" s="1"/>
      <c r="AV80" s="1"/>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row>
    <row r="81" spans="1:114" x14ac:dyDescent="0.25">
      <c r="A81" s="3"/>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7"/>
      <c r="AE81" s="7"/>
      <c r="AF81" s="4"/>
      <c r="AG81" s="4"/>
      <c r="AH81" s="4"/>
      <c r="AI81" s="4"/>
      <c r="AJ81" s="4"/>
      <c r="AK81" s="4"/>
      <c r="AL81" s="4"/>
      <c r="AM81" s="1"/>
      <c r="AN81" s="1"/>
      <c r="AO81" s="1"/>
      <c r="AP81" s="1"/>
      <c r="AQ81" s="1"/>
      <c r="AR81" s="1"/>
      <c r="AS81" s="1"/>
      <c r="AT81" s="1"/>
      <c r="AU81" s="1"/>
      <c r="AV81" s="1"/>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row>
    <row r="82" spans="1:114" x14ac:dyDescent="0.25">
      <c r="A82" s="3"/>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7"/>
      <c r="AE82" s="7"/>
      <c r="AF82" s="4"/>
      <c r="AG82" s="4"/>
      <c r="AH82" s="4"/>
      <c r="AI82" s="4"/>
      <c r="AJ82" s="4"/>
      <c r="AK82" s="4"/>
      <c r="AL82" s="4"/>
      <c r="AM82" s="1"/>
      <c r="AN82" s="1"/>
      <c r="AO82" s="1"/>
      <c r="AP82" s="1"/>
      <c r="AQ82" s="1"/>
      <c r="AR82" s="1"/>
      <c r="AS82" s="1"/>
      <c r="AT82" s="1"/>
      <c r="AU82" s="1"/>
      <c r="AV82" s="1"/>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row>
    <row r="83" spans="1:114" x14ac:dyDescent="0.25">
      <c r="A83" s="3"/>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7"/>
      <c r="AE83" s="7"/>
      <c r="AF83" s="4"/>
      <c r="AG83" s="4"/>
      <c r="AH83" s="4"/>
      <c r="AI83" s="4"/>
      <c r="AJ83" s="4"/>
      <c r="AK83" s="4"/>
      <c r="AL83" s="4"/>
      <c r="AM83" s="1"/>
      <c r="AN83" s="1"/>
      <c r="AO83" s="1"/>
      <c r="AP83" s="1"/>
      <c r="AQ83" s="1"/>
      <c r="AR83" s="1"/>
      <c r="AS83" s="1"/>
      <c r="AT83" s="1"/>
      <c r="AU83" s="1"/>
      <c r="AV83" s="1"/>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row>
    <row r="84" spans="1:114" x14ac:dyDescent="0.25">
      <c r="A84" s="3"/>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7"/>
      <c r="AE84" s="7"/>
      <c r="AF84" s="4"/>
      <c r="AG84" s="4"/>
      <c r="AH84" s="4"/>
      <c r="AI84" s="4"/>
      <c r="AJ84" s="4"/>
      <c r="AK84" s="4"/>
      <c r="AL84" s="4"/>
      <c r="AM84" s="1"/>
      <c r="AN84" s="1"/>
      <c r="AO84" s="1"/>
      <c r="AP84" s="1"/>
      <c r="AQ84" s="1"/>
      <c r="AR84" s="1"/>
      <c r="AS84" s="1"/>
      <c r="AT84" s="1"/>
      <c r="AU84" s="1"/>
      <c r="AV84" s="1"/>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row>
    <row r="85" spans="1:114" x14ac:dyDescent="0.25">
      <c r="A85" s="3"/>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7"/>
      <c r="AE85" s="7"/>
      <c r="AF85" s="4"/>
      <c r="AG85" s="4"/>
      <c r="AH85" s="4"/>
      <c r="AI85" s="4"/>
      <c r="AJ85" s="4"/>
      <c r="AK85" s="4"/>
      <c r="AL85" s="4"/>
      <c r="AM85" s="1"/>
      <c r="AN85" s="1"/>
      <c r="AO85" s="1"/>
      <c r="AP85" s="1"/>
      <c r="AQ85" s="1"/>
      <c r="AR85" s="1"/>
      <c r="AS85" s="1"/>
      <c r="AT85" s="1"/>
      <c r="AU85" s="1"/>
      <c r="AV85" s="1"/>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row>
    <row r="86" spans="1:114" x14ac:dyDescent="0.25">
      <c r="A86" s="3"/>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7"/>
      <c r="AE86" s="7"/>
      <c r="AF86" s="4"/>
      <c r="AG86" s="4"/>
      <c r="AH86" s="4"/>
      <c r="AI86" s="4"/>
      <c r="AJ86" s="4"/>
      <c r="AK86" s="4"/>
      <c r="AL86" s="4"/>
      <c r="AM86" s="1"/>
      <c r="AN86" s="1"/>
      <c r="AO86" s="1"/>
      <c r="AP86" s="1"/>
      <c r="AQ86" s="1"/>
      <c r="AR86" s="1"/>
      <c r="AS86" s="1"/>
      <c r="AT86" s="1"/>
      <c r="AU86" s="1"/>
      <c r="AV86" s="1"/>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row>
    <row r="87" spans="1:114" x14ac:dyDescent="0.25">
      <c r="A87" s="3"/>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7"/>
      <c r="AE87" s="7"/>
      <c r="AF87" s="4"/>
      <c r="AG87" s="4"/>
      <c r="AH87" s="4"/>
      <c r="AI87" s="4"/>
      <c r="AJ87" s="4"/>
      <c r="AK87" s="4"/>
      <c r="AL87" s="4"/>
      <c r="AM87" s="1"/>
      <c r="AN87" s="1"/>
      <c r="AO87" s="1"/>
      <c r="AP87" s="1"/>
      <c r="AQ87" s="1"/>
      <c r="AR87" s="1"/>
      <c r="AS87" s="1"/>
      <c r="AT87" s="1"/>
      <c r="AU87" s="1"/>
      <c r="AV87" s="1"/>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row>
    <row r="88" spans="1:114" x14ac:dyDescent="0.25">
      <c r="A88" s="3"/>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7"/>
      <c r="AE88" s="7"/>
      <c r="AF88" s="4"/>
      <c r="AG88" s="4"/>
      <c r="AH88" s="4"/>
      <c r="AI88" s="4"/>
      <c r="AJ88" s="4"/>
      <c r="AK88" s="4"/>
      <c r="AL88" s="4"/>
      <c r="AM88" s="1"/>
      <c r="AN88" s="1"/>
      <c r="AO88" s="1"/>
      <c r="AP88" s="1"/>
      <c r="AQ88" s="1"/>
      <c r="AR88" s="1"/>
      <c r="AS88" s="1"/>
      <c r="AT88" s="1"/>
      <c r="AU88" s="1"/>
      <c r="AV88" s="1"/>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row>
    <row r="89" spans="1:114" x14ac:dyDescent="0.25">
      <c r="A89" s="3"/>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7"/>
      <c r="AE89" s="7"/>
      <c r="AF89" s="4"/>
      <c r="AG89" s="4"/>
      <c r="AH89" s="4"/>
      <c r="AI89" s="4"/>
      <c r="AJ89" s="4"/>
      <c r="AK89" s="4"/>
      <c r="AL89" s="4"/>
      <c r="AM89" s="1"/>
      <c r="AN89" s="1"/>
      <c r="AO89" s="1"/>
      <c r="AP89" s="1"/>
      <c r="AQ89" s="1"/>
      <c r="AR89" s="1"/>
      <c r="AS89" s="1"/>
      <c r="AT89" s="1"/>
      <c r="AU89" s="1"/>
      <c r="AV89" s="1"/>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c r="DI89" s="5"/>
      <c r="DJ89" s="5"/>
    </row>
    <row r="90" spans="1:114" x14ac:dyDescent="0.25">
      <c r="A90" s="3"/>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7"/>
      <c r="AE90" s="7"/>
      <c r="AF90" s="4"/>
      <c r="AG90" s="4"/>
      <c r="AH90" s="4"/>
      <c r="AI90" s="4"/>
      <c r="AJ90" s="4"/>
      <c r="AK90" s="4"/>
      <c r="AL90" s="4"/>
      <c r="AM90" s="1"/>
      <c r="AN90" s="1"/>
      <c r="AO90" s="1"/>
      <c r="AP90" s="1"/>
      <c r="AQ90" s="1"/>
      <c r="AR90" s="1"/>
      <c r="AS90" s="1"/>
      <c r="AT90" s="1"/>
      <c r="AU90" s="1"/>
      <c r="AV90" s="1"/>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row>
    <row r="91" spans="1:114" x14ac:dyDescent="0.25">
      <c r="A91" s="3"/>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7"/>
      <c r="AE91" s="7"/>
      <c r="AF91" s="4"/>
      <c r="AG91" s="4"/>
      <c r="AH91" s="4"/>
      <c r="AI91" s="4"/>
      <c r="AJ91" s="4"/>
      <c r="AK91" s="4"/>
      <c r="AL91" s="4"/>
      <c r="AM91" s="1"/>
      <c r="AN91" s="1"/>
      <c r="AO91" s="1"/>
      <c r="AP91" s="1"/>
      <c r="AQ91" s="1"/>
      <c r="AR91" s="1"/>
      <c r="AS91" s="1"/>
      <c r="AT91" s="1"/>
      <c r="AU91" s="1"/>
      <c r="AV91" s="1"/>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row>
    <row r="92" spans="1:114" x14ac:dyDescent="0.25">
      <c r="A92" s="3"/>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7"/>
      <c r="AE92" s="7"/>
      <c r="AF92" s="4"/>
      <c r="AG92" s="4"/>
      <c r="AH92" s="4"/>
      <c r="AI92" s="4"/>
      <c r="AJ92" s="4"/>
      <c r="AK92" s="4"/>
      <c r="AL92" s="4"/>
      <c r="AM92" s="1"/>
      <c r="AN92" s="1"/>
      <c r="AO92" s="1"/>
      <c r="AP92" s="1"/>
      <c r="AQ92" s="1"/>
      <c r="AR92" s="1"/>
      <c r="AS92" s="1"/>
      <c r="AT92" s="1"/>
      <c r="AU92" s="1"/>
      <c r="AV92" s="1"/>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c r="DI92" s="5"/>
      <c r="DJ92" s="5"/>
    </row>
    <row r="93" spans="1:114" x14ac:dyDescent="0.25">
      <c r="A93" s="3"/>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7"/>
      <c r="AE93" s="7"/>
      <c r="AF93" s="4"/>
      <c r="AG93" s="4"/>
      <c r="AH93" s="4"/>
      <c r="AI93" s="4"/>
      <c r="AJ93" s="4"/>
      <c r="AK93" s="4"/>
      <c r="AL93" s="4"/>
      <c r="AM93" s="1"/>
      <c r="AN93" s="1"/>
      <c r="AO93" s="1"/>
      <c r="AP93" s="1"/>
      <c r="AQ93" s="1"/>
      <c r="AR93" s="1"/>
      <c r="AS93" s="1"/>
      <c r="AT93" s="1"/>
      <c r="AU93" s="1"/>
      <c r="AV93" s="1"/>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c r="DI93" s="5"/>
      <c r="DJ93" s="5"/>
    </row>
    <row r="94" spans="1:114" x14ac:dyDescent="0.25">
      <c r="A94" s="3"/>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7"/>
      <c r="AE94" s="7"/>
      <c r="AF94" s="4"/>
      <c r="AG94" s="4"/>
      <c r="AH94" s="4"/>
      <c r="AI94" s="4"/>
      <c r="AJ94" s="4"/>
      <c r="AK94" s="4"/>
      <c r="AL94" s="4"/>
      <c r="AM94" s="1"/>
      <c r="AN94" s="1"/>
      <c r="AO94" s="1"/>
      <c r="AP94" s="1"/>
      <c r="AQ94" s="1"/>
      <c r="AR94" s="1"/>
      <c r="AS94" s="1"/>
      <c r="AT94" s="1"/>
      <c r="AU94" s="1"/>
      <c r="AV94" s="1"/>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row>
    <row r="95" spans="1:114" x14ac:dyDescent="0.25">
      <c r="A95" s="3"/>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7"/>
      <c r="AE95" s="7"/>
      <c r="AF95" s="4"/>
      <c r="AG95" s="4"/>
      <c r="AH95" s="4"/>
      <c r="AI95" s="4"/>
      <c r="AJ95" s="4"/>
      <c r="AK95" s="4"/>
      <c r="AL95" s="4"/>
      <c r="AM95" s="1"/>
      <c r="AN95" s="1"/>
      <c r="AO95" s="1"/>
      <c r="AP95" s="1"/>
      <c r="AQ95" s="1"/>
      <c r="AR95" s="1"/>
      <c r="AS95" s="1"/>
      <c r="AT95" s="1"/>
      <c r="AU95" s="1"/>
      <c r="AV95" s="1"/>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row>
    <row r="96" spans="1:114" x14ac:dyDescent="0.25">
      <c r="A96" s="3"/>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7"/>
      <c r="AE96" s="7"/>
      <c r="AF96" s="4"/>
      <c r="AG96" s="4"/>
      <c r="AH96" s="4"/>
      <c r="AI96" s="4"/>
      <c r="AJ96" s="4"/>
      <c r="AK96" s="4"/>
      <c r="AL96" s="4"/>
      <c r="AM96" s="1"/>
      <c r="AN96" s="1"/>
      <c r="AO96" s="1"/>
      <c r="AP96" s="1"/>
      <c r="AQ96" s="1"/>
      <c r="AR96" s="1"/>
      <c r="AS96" s="1"/>
      <c r="AT96" s="1"/>
      <c r="AU96" s="1"/>
      <c r="AV96" s="1"/>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c r="DI96" s="5"/>
      <c r="DJ96" s="5"/>
    </row>
    <row r="97" spans="1:114" x14ac:dyDescent="0.25">
      <c r="A97" s="5"/>
      <c r="B97" s="1"/>
      <c r="C97" s="1"/>
      <c r="D97" s="4"/>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4"/>
      <c r="AG97" s="4"/>
      <c r="AH97" s="4"/>
      <c r="AI97" s="4"/>
      <c r="AJ97" s="4"/>
      <c r="AK97" s="4"/>
      <c r="AL97" s="4"/>
      <c r="AM97" s="1"/>
      <c r="AN97" s="1"/>
      <c r="AO97" s="1"/>
      <c r="AP97" s="1"/>
      <c r="AQ97" s="1"/>
      <c r="AR97" s="1"/>
      <c r="AS97" s="1"/>
      <c r="AT97" s="1"/>
      <c r="AU97" s="1"/>
      <c r="AV97" s="1"/>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c r="DI97" s="5"/>
      <c r="DJ97" s="5"/>
    </row>
    <row r="98" spans="1:114" x14ac:dyDescent="0.25">
      <c r="A98" s="5"/>
      <c r="B98" s="1"/>
      <c r="C98" s="1"/>
      <c r="D98" s="4"/>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4"/>
      <c r="AG98" s="4"/>
      <c r="AH98" s="4"/>
      <c r="AI98" s="4"/>
      <c r="AJ98" s="4"/>
      <c r="AK98" s="4"/>
      <c r="AL98" s="4"/>
      <c r="AM98" s="1"/>
      <c r="AN98" s="1"/>
      <c r="AO98" s="1"/>
      <c r="AP98" s="1"/>
      <c r="AQ98" s="1"/>
      <c r="AR98" s="1"/>
      <c r="AS98" s="1"/>
      <c r="AT98" s="1"/>
      <c r="AU98" s="1"/>
      <c r="AV98" s="1"/>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c r="DI98" s="5"/>
      <c r="DJ98" s="5"/>
    </row>
    <row r="99" spans="1:114" x14ac:dyDescent="0.25">
      <c r="A99" s="5"/>
      <c r="B99" s="1"/>
      <c r="C99" s="1"/>
      <c r="D99" s="4"/>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4"/>
      <c r="AG99" s="4"/>
      <c r="AH99" s="4"/>
      <c r="AI99" s="4"/>
      <c r="AJ99" s="4"/>
      <c r="AK99" s="4"/>
      <c r="AL99" s="4"/>
      <c r="AM99" s="1"/>
      <c r="AN99" s="1"/>
      <c r="AO99" s="1"/>
      <c r="AP99" s="1"/>
      <c r="AQ99" s="1"/>
      <c r="AR99" s="1"/>
      <c r="AS99" s="1"/>
      <c r="AT99" s="1"/>
      <c r="AU99" s="1"/>
      <c r="AV99" s="1"/>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c r="DI99" s="5"/>
      <c r="DJ99" s="5"/>
    </row>
    <row r="100" spans="1:114" x14ac:dyDescent="0.25">
      <c r="A100" s="5"/>
      <c r="B100" s="1"/>
      <c r="C100" s="1"/>
      <c r="D100" s="4"/>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4"/>
      <c r="AG100" s="4"/>
      <c r="AH100" s="4"/>
      <c r="AI100" s="4"/>
      <c r="AJ100" s="4"/>
      <c r="AK100" s="4"/>
      <c r="AL100" s="4"/>
      <c r="AM100" s="1"/>
      <c r="AN100" s="1"/>
      <c r="AO100" s="1"/>
      <c r="AP100" s="1"/>
      <c r="AQ100" s="1"/>
      <c r="AR100" s="1"/>
      <c r="AS100" s="1"/>
      <c r="AT100" s="1"/>
      <c r="AU100" s="1"/>
      <c r="AV100" s="1"/>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row>
    <row r="101" spans="1:114" x14ac:dyDescent="0.25">
      <c r="A101" s="5"/>
      <c r="B101" s="1"/>
      <c r="C101" s="1"/>
      <c r="D101" s="4"/>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4"/>
      <c r="AG101" s="4"/>
      <c r="AH101" s="4"/>
      <c r="AI101" s="4"/>
      <c r="AJ101" s="4"/>
      <c r="AK101" s="4"/>
      <c r="AL101" s="4"/>
      <c r="AM101" s="1"/>
      <c r="AN101" s="1"/>
      <c r="AO101" s="1"/>
      <c r="AP101" s="1"/>
      <c r="AQ101" s="1"/>
      <c r="AR101" s="1"/>
      <c r="AS101" s="1"/>
      <c r="AT101" s="1"/>
      <c r="AU101" s="1"/>
      <c r="AV101" s="1"/>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c r="DI101" s="5"/>
      <c r="DJ101" s="5"/>
    </row>
    <row r="102" spans="1:114" x14ac:dyDescent="0.25">
      <c r="A102" s="5"/>
      <c r="B102" s="1"/>
      <c r="C102" s="1"/>
      <c r="D102" s="4"/>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4"/>
      <c r="AG102" s="4"/>
      <c r="AH102" s="4"/>
      <c r="AI102" s="4"/>
      <c r="AJ102" s="4"/>
      <c r="AK102" s="4"/>
      <c r="AL102" s="4"/>
      <c r="AM102" s="1"/>
      <c r="AN102" s="1"/>
      <c r="AO102" s="1"/>
      <c r="AP102" s="1"/>
      <c r="AQ102" s="1"/>
      <c r="AR102" s="1"/>
      <c r="AS102" s="1"/>
      <c r="AT102" s="1"/>
      <c r="AU102" s="1"/>
      <c r="AV102" s="1"/>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row>
    <row r="103" spans="1:114" x14ac:dyDescent="0.25">
      <c r="A103" s="5"/>
      <c r="B103" s="1"/>
      <c r="C103" s="1"/>
      <c r="D103" s="4"/>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4"/>
      <c r="AG103" s="4"/>
      <c r="AH103" s="4"/>
      <c r="AI103" s="4"/>
      <c r="AJ103" s="4"/>
      <c r="AK103" s="4"/>
      <c r="AL103" s="4"/>
      <c r="AM103" s="1"/>
      <c r="AN103" s="1"/>
      <c r="AO103" s="1"/>
      <c r="AP103" s="1"/>
      <c r="AQ103" s="1"/>
      <c r="AR103" s="1"/>
      <c r="AS103" s="1"/>
      <c r="AT103" s="1"/>
      <c r="AU103" s="1"/>
      <c r="AV103" s="1"/>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5"/>
      <c r="DG103" s="5"/>
      <c r="DH103" s="5"/>
      <c r="DI103" s="5"/>
      <c r="DJ103" s="5"/>
    </row>
    <row r="104" spans="1:114" x14ac:dyDescent="0.25">
      <c r="A104" s="5"/>
      <c r="B104" s="1"/>
      <c r="C104" s="1"/>
      <c r="D104" s="4"/>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4"/>
      <c r="AG104" s="4"/>
      <c r="AH104" s="4"/>
      <c r="AI104" s="4"/>
      <c r="AJ104" s="4"/>
      <c r="AK104" s="4"/>
      <c r="AL104" s="4"/>
      <c r="AM104" s="1"/>
      <c r="AN104" s="1"/>
      <c r="AO104" s="1"/>
      <c r="AP104" s="1"/>
      <c r="AQ104" s="1"/>
      <c r="AR104" s="1"/>
      <c r="AS104" s="1"/>
      <c r="AT104" s="1"/>
      <c r="AU104" s="1"/>
      <c r="AV104" s="1"/>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c r="DJ104" s="5"/>
    </row>
    <row r="105" spans="1:114" x14ac:dyDescent="0.25">
      <c r="A105" s="5"/>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4"/>
      <c r="AG105" s="4"/>
      <c r="AH105" s="4"/>
      <c r="AI105" s="4"/>
      <c r="AJ105" s="4"/>
      <c r="AK105" s="4"/>
      <c r="AL105" s="4"/>
      <c r="AM105" s="1"/>
      <c r="AN105" s="1"/>
      <c r="AO105" s="1"/>
      <c r="AP105" s="1"/>
      <c r="AQ105" s="1"/>
      <c r="AR105" s="1"/>
      <c r="AS105" s="1"/>
      <c r="AT105" s="1"/>
      <c r="AU105" s="1"/>
      <c r="AV105" s="1"/>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5"/>
      <c r="DG105" s="5"/>
      <c r="DH105" s="5"/>
      <c r="DI105" s="5"/>
      <c r="DJ105" s="5"/>
    </row>
    <row r="106" spans="1:114" x14ac:dyDescent="0.25">
      <c r="A106" s="5"/>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4"/>
      <c r="AG106" s="4"/>
      <c r="AH106" s="4"/>
      <c r="AI106" s="4"/>
      <c r="AJ106" s="4"/>
      <c r="AK106" s="4"/>
      <c r="AL106" s="4"/>
      <c r="AM106" s="1"/>
      <c r="AN106" s="1"/>
      <c r="AO106" s="1"/>
      <c r="AP106" s="1"/>
      <c r="AQ106" s="1"/>
      <c r="AR106" s="1"/>
      <c r="AS106" s="1"/>
      <c r="AT106" s="1"/>
      <c r="AU106" s="1"/>
      <c r="AV106" s="1"/>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c r="CW106" s="5"/>
      <c r="CX106" s="5"/>
      <c r="CY106" s="5"/>
      <c r="CZ106" s="5"/>
      <c r="DA106" s="5"/>
      <c r="DB106" s="5"/>
      <c r="DC106" s="5"/>
      <c r="DD106" s="5"/>
      <c r="DE106" s="5"/>
      <c r="DF106" s="5"/>
      <c r="DG106" s="5"/>
      <c r="DH106" s="5"/>
      <c r="DI106" s="5"/>
      <c r="DJ106" s="5"/>
    </row>
    <row r="107" spans="1:114" x14ac:dyDescent="0.25">
      <c r="A107" s="5"/>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4"/>
      <c r="AG107" s="4"/>
      <c r="AH107" s="4"/>
      <c r="AI107" s="4"/>
      <c r="AJ107" s="4"/>
      <c r="AK107" s="4"/>
      <c r="AL107" s="4"/>
      <c r="AM107" s="1"/>
      <c r="AN107" s="1"/>
      <c r="AO107" s="1"/>
      <c r="AP107" s="1"/>
      <c r="AQ107" s="1"/>
      <c r="AR107" s="1"/>
      <c r="AS107" s="1"/>
      <c r="AT107" s="1"/>
      <c r="AU107" s="1"/>
      <c r="AV107" s="1"/>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c r="CW107" s="5"/>
      <c r="CX107" s="5"/>
      <c r="CY107" s="5"/>
      <c r="CZ107" s="5"/>
      <c r="DA107" s="5"/>
      <c r="DB107" s="5"/>
      <c r="DC107" s="5"/>
      <c r="DD107" s="5"/>
      <c r="DE107" s="5"/>
      <c r="DF107" s="5"/>
      <c r="DG107" s="5"/>
      <c r="DH107" s="5"/>
      <c r="DI107" s="5"/>
      <c r="DJ107" s="5"/>
    </row>
    <row r="108" spans="1:114" x14ac:dyDescent="0.25">
      <c r="A108" s="5"/>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4"/>
      <c r="AG108" s="4"/>
      <c r="AH108" s="4"/>
      <c r="AI108" s="4"/>
      <c r="AJ108" s="4"/>
      <c r="AK108" s="4"/>
      <c r="AL108" s="4"/>
      <c r="AM108" s="1"/>
      <c r="AN108" s="1"/>
      <c r="AO108" s="1"/>
      <c r="AP108" s="1"/>
      <c r="AQ108" s="1"/>
      <c r="AR108" s="1"/>
      <c r="AS108" s="1"/>
      <c r="AT108" s="1"/>
      <c r="AU108" s="1"/>
      <c r="AV108" s="1"/>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c r="CW108" s="5"/>
      <c r="CX108" s="5"/>
      <c r="CY108" s="5"/>
      <c r="CZ108" s="5"/>
      <c r="DA108" s="5"/>
      <c r="DB108" s="5"/>
      <c r="DC108" s="5"/>
      <c r="DD108" s="5"/>
      <c r="DE108" s="5"/>
      <c r="DF108" s="5"/>
      <c r="DG108" s="5"/>
      <c r="DH108" s="5"/>
      <c r="DI108" s="5"/>
      <c r="DJ108" s="5"/>
    </row>
    <row r="109" spans="1:114" x14ac:dyDescent="0.25">
      <c r="A109" s="5"/>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4"/>
      <c r="AG109" s="4"/>
      <c r="AH109" s="4"/>
      <c r="AI109" s="4"/>
      <c r="AJ109" s="4"/>
      <c r="AK109" s="4"/>
      <c r="AL109" s="4"/>
      <c r="AM109" s="1"/>
      <c r="AN109" s="1"/>
      <c r="AO109" s="1"/>
      <c r="AP109" s="1"/>
      <c r="AQ109" s="1"/>
      <c r="AR109" s="1"/>
      <c r="AS109" s="1"/>
      <c r="AT109" s="1"/>
      <c r="AU109" s="1"/>
      <c r="AV109" s="1"/>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c r="CW109" s="5"/>
      <c r="CX109" s="5"/>
      <c r="CY109" s="5"/>
      <c r="CZ109" s="5"/>
      <c r="DA109" s="5"/>
      <c r="DB109" s="5"/>
      <c r="DC109" s="5"/>
      <c r="DD109" s="5"/>
      <c r="DE109" s="5"/>
      <c r="DF109" s="5"/>
      <c r="DG109" s="5"/>
      <c r="DH109" s="5"/>
      <c r="DI109" s="5"/>
      <c r="DJ109" s="5"/>
    </row>
    <row r="110" spans="1:114" x14ac:dyDescent="0.25">
      <c r="A110" s="5"/>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4"/>
      <c r="AG110" s="4"/>
      <c r="AH110" s="4"/>
      <c r="AI110" s="4"/>
      <c r="AJ110" s="4"/>
      <c r="AK110" s="4"/>
      <c r="AL110" s="4"/>
      <c r="AM110" s="1"/>
      <c r="AN110" s="1"/>
      <c r="AO110" s="1"/>
      <c r="AP110" s="1"/>
      <c r="AQ110" s="1"/>
      <c r="AR110" s="1"/>
      <c r="AS110" s="1"/>
      <c r="AT110" s="1"/>
      <c r="AU110" s="1"/>
      <c r="AV110" s="1"/>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c r="CW110" s="5"/>
      <c r="CX110" s="5"/>
      <c r="CY110" s="5"/>
      <c r="CZ110" s="5"/>
      <c r="DA110" s="5"/>
      <c r="DB110" s="5"/>
      <c r="DC110" s="5"/>
      <c r="DD110" s="5"/>
      <c r="DE110" s="5"/>
      <c r="DF110" s="5"/>
      <c r="DG110" s="5"/>
      <c r="DH110" s="5"/>
      <c r="DI110" s="5"/>
      <c r="DJ110" s="5"/>
    </row>
    <row r="111" spans="1:114" x14ac:dyDescent="0.25">
      <c r="A111" s="5"/>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4"/>
      <c r="AG111" s="4"/>
      <c r="AH111" s="4"/>
      <c r="AI111" s="4"/>
      <c r="AJ111" s="4"/>
      <c r="AK111" s="4"/>
      <c r="AL111" s="4"/>
      <c r="AM111" s="1"/>
      <c r="AN111" s="1"/>
      <c r="AO111" s="1"/>
      <c r="AP111" s="1"/>
      <c r="AQ111" s="1"/>
      <c r="AR111" s="1"/>
      <c r="AS111" s="1"/>
      <c r="AT111" s="1"/>
      <c r="AU111" s="1"/>
      <c r="AV111" s="1"/>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c r="CW111" s="5"/>
      <c r="CX111" s="5"/>
      <c r="CY111" s="5"/>
      <c r="CZ111" s="5"/>
      <c r="DA111" s="5"/>
      <c r="DB111" s="5"/>
      <c r="DC111" s="5"/>
      <c r="DD111" s="5"/>
      <c r="DE111" s="5"/>
      <c r="DF111" s="5"/>
      <c r="DG111" s="5"/>
      <c r="DH111" s="5"/>
      <c r="DI111" s="5"/>
      <c r="DJ111" s="5"/>
    </row>
    <row r="112" spans="1:114" x14ac:dyDescent="0.25">
      <c r="A112" s="5"/>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4"/>
      <c r="AG112" s="4"/>
      <c r="AH112" s="4"/>
      <c r="AI112" s="4"/>
      <c r="AJ112" s="4"/>
      <c r="AK112" s="4"/>
      <c r="AL112" s="4"/>
      <c r="AM112" s="1"/>
      <c r="AN112" s="1"/>
      <c r="AO112" s="1"/>
      <c r="AP112" s="1"/>
      <c r="AQ112" s="1"/>
      <c r="AR112" s="1"/>
      <c r="AS112" s="1"/>
      <c r="AT112" s="1"/>
      <c r="AU112" s="1"/>
      <c r="AV112" s="1"/>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c r="CW112" s="5"/>
      <c r="CX112" s="5"/>
      <c r="CY112" s="5"/>
      <c r="CZ112" s="5"/>
      <c r="DA112" s="5"/>
      <c r="DB112" s="5"/>
      <c r="DC112" s="5"/>
      <c r="DD112" s="5"/>
      <c r="DE112" s="5"/>
      <c r="DF112" s="5"/>
      <c r="DG112" s="5"/>
      <c r="DH112" s="5"/>
      <c r="DI112" s="5"/>
      <c r="DJ112" s="5"/>
    </row>
    <row r="113" spans="1:114" x14ac:dyDescent="0.25">
      <c r="A113" s="5"/>
      <c r="B113" s="5"/>
      <c r="C113" s="5"/>
      <c r="D113" s="1"/>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8"/>
      <c r="AG113" s="8"/>
      <c r="AH113" s="4"/>
      <c r="AI113" s="4"/>
      <c r="AJ113" s="8"/>
      <c r="AK113" s="8"/>
      <c r="AL113" s="8"/>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c r="CW113" s="5"/>
      <c r="CX113" s="5"/>
      <c r="CY113" s="5"/>
      <c r="CZ113" s="5"/>
      <c r="DA113" s="5"/>
      <c r="DB113" s="5"/>
      <c r="DC113" s="5"/>
      <c r="DD113" s="5"/>
      <c r="DE113" s="5"/>
      <c r="DF113" s="5"/>
      <c r="DG113" s="5"/>
      <c r="DH113" s="5"/>
      <c r="DI113" s="5"/>
      <c r="DJ113" s="5"/>
    </row>
    <row r="114" spans="1:114" x14ac:dyDescent="0.25">
      <c r="A114" s="5"/>
      <c r="B114" s="5"/>
      <c r="C114" s="5"/>
      <c r="D114" s="1"/>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8"/>
      <c r="AG114" s="8"/>
      <c r="AH114" s="4"/>
      <c r="AI114" s="4"/>
      <c r="AJ114" s="8"/>
      <c r="AK114" s="8"/>
      <c r="AL114" s="8"/>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c r="CW114" s="5"/>
      <c r="CX114" s="5"/>
      <c r="CY114" s="5"/>
      <c r="CZ114" s="5"/>
      <c r="DA114" s="5"/>
      <c r="DB114" s="5"/>
      <c r="DC114" s="5"/>
      <c r="DD114" s="5"/>
      <c r="DE114" s="5"/>
      <c r="DF114" s="5"/>
      <c r="DG114" s="5"/>
      <c r="DH114" s="5"/>
      <c r="DI114" s="5"/>
      <c r="DJ114" s="5"/>
    </row>
    <row r="115" spans="1:114" x14ac:dyDescent="0.25">
      <c r="A115" s="5"/>
      <c r="B115" s="5"/>
      <c r="C115" s="5"/>
      <c r="D115" s="1"/>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8"/>
      <c r="AG115" s="8"/>
      <c r="AH115" s="4"/>
      <c r="AI115" s="4"/>
      <c r="AJ115" s="8"/>
      <c r="AK115" s="8"/>
      <c r="AL115" s="8"/>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c r="CW115" s="5"/>
      <c r="CX115" s="5"/>
      <c r="CY115" s="5"/>
      <c r="CZ115" s="5"/>
      <c r="DA115" s="5"/>
      <c r="DB115" s="5"/>
      <c r="DC115" s="5"/>
      <c r="DD115" s="5"/>
      <c r="DE115" s="5"/>
      <c r="DF115" s="5"/>
      <c r="DG115" s="5"/>
      <c r="DH115" s="5"/>
      <c r="DI115" s="5"/>
      <c r="DJ115" s="5"/>
    </row>
    <row r="116" spans="1:114" x14ac:dyDescent="0.25">
      <c r="A116" s="5"/>
      <c r="B116" s="5"/>
      <c r="C116" s="5"/>
      <c r="D116" s="1"/>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8"/>
      <c r="AG116" s="8"/>
      <c r="AH116" s="4"/>
      <c r="AI116" s="4"/>
      <c r="AJ116" s="8"/>
      <c r="AK116" s="8"/>
      <c r="AL116" s="8"/>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c r="DF116" s="5"/>
      <c r="DG116" s="5"/>
      <c r="DH116" s="5"/>
      <c r="DI116" s="5"/>
      <c r="DJ116" s="5"/>
    </row>
    <row r="117" spans="1:114" x14ac:dyDescent="0.25">
      <c r="A117" s="5"/>
      <c r="B117" s="5"/>
      <c r="C117" s="5"/>
      <c r="D117" s="1"/>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8"/>
      <c r="AG117" s="8"/>
      <c r="AH117" s="4"/>
      <c r="AI117" s="4"/>
      <c r="AJ117" s="8"/>
      <c r="AK117" s="8"/>
      <c r="AL117" s="8"/>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c r="CW117" s="5"/>
      <c r="CX117" s="5"/>
      <c r="CY117" s="5"/>
      <c r="CZ117" s="5"/>
      <c r="DA117" s="5"/>
      <c r="DB117" s="5"/>
      <c r="DC117" s="5"/>
      <c r="DD117" s="5"/>
      <c r="DE117" s="5"/>
      <c r="DF117" s="5"/>
      <c r="DG117" s="5"/>
      <c r="DH117" s="5"/>
      <c r="DI117" s="5"/>
      <c r="DJ117" s="5"/>
    </row>
    <row r="118" spans="1:114" x14ac:dyDescent="0.25">
      <c r="A118" s="5"/>
      <c r="B118" s="5"/>
      <c r="C118" s="5"/>
      <c r="D118" s="1"/>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8"/>
      <c r="AG118" s="8"/>
      <c r="AH118" s="4"/>
      <c r="AI118" s="4"/>
      <c r="AJ118" s="8"/>
      <c r="AK118" s="8"/>
      <c r="AL118" s="8"/>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c r="CW118" s="5"/>
      <c r="CX118" s="5"/>
      <c r="CY118" s="5"/>
      <c r="CZ118" s="5"/>
      <c r="DA118" s="5"/>
      <c r="DB118" s="5"/>
      <c r="DC118" s="5"/>
      <c r="DD118" s="5"/>
      <c r="DE118" s="5"/>
      <c r="DF118" s="5"/>
      <c r="DG118" s="5"/>
      <c r="DH118" s="5"/>
      <c r="DI118" s="5"/>
      <c r="DJ118" s="5"/>
    </row>
    <row r="119" spans="1:114" x14ac:dyDescent="0.25">
      <c r="A119" s="5"/>
      <c r="B119" s="5"/>
      <c r="C119" s="5"/>
      <c r="D119" s="1"/>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4"/>
      <c r="AI119" s="4"/>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c r="CW119" s="5"/>
      <c r="CX119" s="5"/>
      <c r="CY119" s="5"/>
      <c r="CZ119" s="5"/>
      <c r="DA119" s="5"/>
      <c r="DB119" s="5"/>
      <c r="DC119" s="5"/>
      <c r="DD119" s="5"/>
      <c r="DE119" s="5"/>
      <c r="DF119" s="5"/>
      <c r="DG119" s="5"/>
      <c r="DH119" s="5"/>
      <c r="DI119" s="5"/>
      <c r="DJ119" s="5"/>
    </row>
    <row r="120" spans="1:114" x14ac:dyDescent="0.25">
      <c r="A120" s="5"/>
      <c r="B120" s="5"/>
      <c r="C120" s="5"/>
      <c r="D120" s="1"/>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4"/>
      <c r="AI120" s="4"/>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c r="CW120" s="5"/>
      <c r="CX120" s="5"/>
      <c r="CY120" s="5"/>
      <c r="CZ120" s="5"/>
      <c r="DA120" s="5"/>
      <c r="DB120" s="5"/>
      <c r="DC120" s="5"/>
      <c r="DD120" s="5"/>
      <c r="DE120" s="5"/>
      <c r="DF120" s="5"/>
      <c r="DG120" s="5"/>
      <c r="DH120" s="5"/>
      <c r="DI120" s="5"/>
      <c r="DJ120" s="5"/>
    </row>
    <row r="121" spans="1:114"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8"/>
      <c r="AI121" s="8"/>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c r="CW121" s="5"/>
      <c r="CX121" s="5"/>
      <c r="CY121" s="5"/>
      <c r="CZ121" s="5"/>
      <c r="DA121" s="5"/>
      <c r="DB121" s="5"/>
      <c r="DC121" s="5"/>
      <c r="DD121" s="5"/>
      <c r="DE121" s="5"/>
      <c r="DF121" s="5"/>
      <c r="DG121" s="5"/>
      <c r="DH121" s="5"/>
      <c r="DI121" s="5"/>
      <c r="DJ121" s="5"/>
    </row>
    <row r="122" spans="1:114"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8"/>
      <c r="AI122" s="8"/>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c r="CW122" s="5"/>
      <c r="CX122" s="5"/>
      <c r="CY122" s="5"/>
      <c r="CZ122" s="5"/>
      <c r="DA122" s="5"/>
      <c r="DB122" s="5"/>
      <c r="DC122" s="5"/>
      <c r="DD122" s="5"/>
      <c r="DE122" s="5"/>
      <c r="DF122" s="5"/>
      <c r="DG122" s="5"/>
      <c r="DH122" s="5"/>
      <c r="DI122" s="5"/>
      <c r="DJ122" s="5"/>
    </row>
    <row r="123" spans="1:114"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8"/>
      <c r="AI123" s="8"/>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c r="DI123" s="5"/>
      <c r="DJ123" s="5"/>
    </row>
    <row r="124" spans="1:114"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8"/>
      <c r="AI124" s="8"/>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c r="CW124" s="5"/>
      <c r="CX124" s="5"/>
      <c r="CY124" s="5"/>
      <c r="CZ124" s="5"/>
      <c r="DA124" s="5"/>
      <c r="DB124" s="5"/>
      <c r="DC124" s="5"/>
      <c r="DD124" s="5"/>
      <c r="DE124" s="5"/>
      <c r="DF124" s="5"/>
      <c r="DG124" s="5"/>
      <c r="DH124" s="5"/>
      <c r="DI124" s="5"/>
      <c r="DJ124" s="5"/>
    </row>
    <row r="125" spans="1:114" x14ac:dyDescent="0.25">
      <c r="D125" s="5"/>
      <c r="AH125" s="8"/>
      <c r="AI125" s="8"/>
    </row>
    <row r="126" spans="1:114" x14ac:dyDescent="0.25">
      <c r="D126" s="5"/>
      <c r="AH126" s="8"/>
      <c r="AI126" s="8"/>
    </row>
    <row r="127" spans="1:114" x14ac:dyDescent="0.25">
      <c r="D127" s="5"/>
      <c r="AH127" s="5"/>
      <c r="AI127" s="5"/>
    </row>
    <row r="128" spans="1:114" x14ac:dyDescent="0.25">
      <c r="D128" s="5"/>
      <c r="AH128" s="5"/>
      <c r="AI128" s="5"/>
    </row>
    <row r="129" spans="4:35" x14ac:dyDescent="0.25">
      <c r="D129" s="5"/>
      <c r="AH129" s="5"/>
      <c r="AI129" s="5"/>
    </row>
    <row r="130" spans="4:35" x14ac:dyDescent="0.25">
      <c r="D130" s="5"/>
      <c r="AH130" s="5"/>
      <c r="AI130" s="5"/>
    </row>
    <row r="131" spans="4:35" x14ac:dyDescent="0.25">
      <c r="D131" s="5"/>
      <c r="AH131" s="5"/>
      <c r="AI131" s="5"/>
    </row>
    <row r="132" spans="4:35" x14ac:dyDescent="0.25">
      <c r="D132" s="5"/>
      <c r="AH132" s="5"/>
      <c r="AI132" s="5"/>
    </row>
  </sheetData>
  <mergeCells count="10">
    <mergeCell ref="L16:N16"/>
    <mergeCell ref="A1:AG1"/>
    <mergeCell ref="B2:F3"/>
    <mergeCell ref="H2:V2"/>
    <mergeCell ref="W2:AA3"/>
    <mergeCell ref="AB2:AD3"/>
    <mergeCell ref="H3:K3"/>
    <mergeCell ref="O3:V3"/>
    <mergeCell ref="AE2:AI3"/>
    <mergeCell ref="L3:N3"/>
  </mergeCell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AW77"/>
  <sheetViews>
    <sheetView showGridLines="0" topLeftCell="U28" zoomScale="85" zoomScaleNormal="85" workbookViewId="0">
      <selection activeCell="AU43" sqref="AU43"/>
    </sheetView>
  </sheetViews>
  <sheetFormatPr defaultColWidth="9.140625" defaultRowHeight="15" x14ac:dyDescent="0.25"/>
  <cols>
    <col min="13" max="13" width="8.85546875" customWidth="1"/>
    <col min="16" max="16" width="11.85546875" bestFit="1" customWidth="1"/>
    <col min="17" max="17" width="15.7109375" bestFit="1" customWidth="1"/>
  </cols>
  <sheetData>
    <row r="1" spans="1:29" ht="18.75" x14ac:dyDescent="0.3">
      <c r="A1" s="31" t="s">
        <v>73</v>
      </c>
    </row>
    <row r="2" spans="1:29" ht="18.75" x14ac:dyDescent="0.3">
      <c r="A2" s="90" t="s">
        <v>189</v>
      </c>
      <c r="B2" s="91"/>
      <c r="C2" s="91"/>
      <c r="D2" s="91"/>
      <c r="E2" s="91"/>
      <c r="F2" s="91"/>
      <c r="G2" s="91"/>
      <c r="H2" s="91"/>
      <c r="I2" s="91"/>
      <c r="J2" s="91"/>
      <c r="K2" s="91"/>
      <c r="L2" s="91"/>
      <c r="M2" s="91"/>
      <c r="N2" s="91"/>
      <c r="O2" s="91"/>
      <c r="P2" s="91"/>
      <c r="Q2" s="91"/>
      <c r="R2" s="91"/>
      <c r="S2" s="91"/>
      <c r="T2" s="91"/>
      <c r="U2" s="91"/>
      <c r="V2" s="91"/>
      <c r="W2" s="91"/>
      <c r="X2" s="91"/>
      <c r="Y2" s="91"/>
      <c r="Z2" s="91"/>
      <c r="AA2" s="91"/>
      <c r="AB2" s="91"/>
      <c r="AC2" s="91"/>
    </row>
    <row r="3" spans="1:29" x14ac:dyDescent="0.25">
      <c r="A3" s="91"/>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row>
    <row r="4" spans="1:29" x14ac:dyDescent="0.25">
      <c r="A4" s="91"/>
      <c r="B4" s="91"/>
      <c r="C4" s="91"/>
      <c r="D4" s="91"/>
      <c r="E4" s="91"/>
      <c r="F4" s="91"/>
      <c r="G4" s="91"/>
      <c r="H4" s="91"/>
      <c r="I4" s="91"/>
      <c r="J4" s="91"/>
      <c r="K4" s="91"/>
      <c r="L4" s="91"/>
      <c r="M4" s="91"/>
      <c r="N4" s="91"/>
      <c r="O4" s="91"/>
      <c r="P4" s="91"/>
      <c r="Q4" s="91"/>
      <c r="R4" s="91"/>
      <c r="S4" s="91"/>
      <c r="T4" s="91"/>
      <c r="U4" s="91"/>
      <c r="V4" s="91"/>
      <c r="W4" s="91"/>
      <c r="X4" s="91"/>
      <c r="Y4" s="91"/>
      <c r="Z4" s="91"/>
      <c r="AA4" s="91"/>
      <c r="AB4" s="91"/>
      <c r="AC4" s="91"/>
    </row>
    <row r="5" spans="1:29" x14ac:dyDescent="0.25">
      <c r="A5" s="91"/>
      <c r="B5" s="91"/>
      <c r="C5" s="91"/>
      <c r="D5" s="91"/>
      <c r="E5" s="91"/>
      <c r="F5" s="91"/>
      <c r="G5" s="91"/>
      <c r="H5" s="91"/>
      <c r="I5" s="91"/>
      <c r="J5" s="91"/>
      <c r="K5" s="91"/>
      <c r="L5" s="91"/>
      <c r="M5" s="91"/>
      <c r="N5" s="91"/>
      <c r="O5" s="91"/>
      <c r="P5" s="91"/>
      <c r="Q5" s="91"/>
      <c r="R5" s="91"/>
      <c r="S5" s="91"/>
      <c r="T5" s="91"/>
      <c r="U5" s="91"/>
      <c r="V5" s="91"/>
      <c r="W5" s="91"/>
      <c r="X5" s="91"/>
      <c r="Y5" s="91"/>
      <c r="Z5" s="91"/>
      <c r="AA5" s="91"/>
      <c r="AB5" s="91"/>
      <c r="AC5" s="91"/>
    </row>
    <row r="6" spans="1:29" x14ac:dyDescent="0.25">
      <c r="A6" s="91"/>
      <c r="B6" s="91"/>
      <c r="C6" s="91"/>
      <c r="D6" s="91"/>
      <c r="E6" s="91"/>
      <c r="F6" s="91"/>
      <c r="G6" s="91"/>
      <c r="H6" s="91"/>
      <c r="I6" s="91"/>
      <c r="J6" s="91"/>
      <c r="K6" s="91"/>
      <c r="L6" s="91"/>
      <c r="M6" s="91"/>
      <c r="N6" s="91"/>
      <c r="O6" s="91"/>
      <c r="P6" s="91"/>
      <c r="Q6" s="91"/>
      <c r="R6" s="91"/>
      <c r="S6" s="91"/>
      <c r="T6" s="91"/>
      <c r="U6" s="91"/>
      <c r="V6" s="91"/>
      <c r="W6" s="91"/>
      <c r="X6" s="91"/>
      <c r="Y6" s="91"/>
      <c r="Z6" s="91"/>
      <c r="AA6" s="91"/>
      <c r="AB6" s="91"/>
      <c r="AC6" s="91"/>
    </row>
    <row r="7" spans="1:29" x14ac:dyDescent="0.25">
      <c r="A7" s="91"/>
      <c r="B7" s="91"/>
      <c r="C7" s="91"/>
      <c r="D7" s="91"/>
      <c r="E7" s="91"/>
      <c r="F7" s="91"/>
      <c r="G7" s="91"/>
      <c r="H7" s="91"/>
      <c r="I7" s="91"/>
      <c r="J7" s="91"/>
      <c r="K7" s="91"/>
      <c r="L7" s="91"/>
      <c r="M7" s="91"/>
      <c r="N7" s="91"/>
      <c r="O7" s="91"/>
      <c r="P7" s="91"/>
      <c r="Q7" s="91"/>
      <c r="R7" s="91"/>
      <c r="S7" s="91"/>
      <c r="T7" s="91"/>
      <c r="U7" s="91"/>
      <c r="V7" s="91"/>
      <c r="W7" s="91"/>
      <c r="X7" s="91"/>
      <c r="Y7" s="91"/>
      <c r="Z7" s="91"/>
      <c r="AA7" s="91"/>
      <c r="AB7" s="91"/>
      <c r="AC7" s="91"/>
    </row>
    <row r="8" spans="1:29" x14ac:dyDescent="0.25">
      <c r="A8" s="91"/>
      <c r="B8" s="91"/>
      <c r="C8" s="91"/>
      <c r="D8" s="91"/>
      <c r="E8" s="91"/>
      <c r="F8" s="91"/>
      <c r="G8" s="91"/>
      <c r="H8" s="91"/>
      <c r="I8" s="91"/>
      <c r="J8" s="91"/>
      <c r="K8" s="91"/>
      <c r="L8" s="91"/>
      <c r="M8" s="91"/>
      <c r="N8" s="91"/>
      <c r="O8" s="91"/>
      <c r="P8" s="91"/>
      <c r="Q8" s="91"/>
      <c r="R8" s="91"/>
      <c r="S8" s="91"/>
      <c r="T8" s="91"/>
      <c r="U8" s="91"/>
      <c r="V8" s="91"/>
      <c r="W8" s="91"/>
      <c r="X8" s="91"/>
      <c r="Y8" s="91"/>
      <c r="Z8" s="91"/>
      <c r="AA8" s="91"/>
      <c r="AB8" s="91"/>
      <c r="AC8" s="91"/>
    </row>
    <row r="9" spans="1:29" x14ac:dyDescent="0.25">
      <c r="A9" s="91"/>
      <c r="B9" s="91"/>
      <c r="C9" s="91"/>
      <c r="D9" s="91"/>
      <c r="E9" s="91"/>
      <c r="F9" s="91"/>
      <c r="G9" s="91"/>
      <c r="H9" s="91"/>
      <c r="I9" s="91"/>
      <c r="J9" s="91"/>
      <c r="K9" s="91"/>
      <c r="L9" s="91"/>
      <c r="M9" s="91"/>
      <c r="N9" s="91"/>
      <c r="O9" s="91"/>
      <c r="P9" s="91"/>
      <c r="Q9" s="91"/>
      <c r="R9" s="91"/>
      <c r="S9" s="91"/>
      <c r="T9" s="91"/>
      <c r="U9" s="91"/>
      <c r="V9" s="91"/>
      <c r="W9" s="91"/>
      <c r="X9" s="91"/>
      <c r="Y9" s="91"/>
      <c r="Z9" s="91"/>
      <c r="AA9" s="91"/>
      <c r="AB9" s="91"/>
      <c r="AC9" s="91"/>
    </row>
    <row r="10" spans="1:29" x14ac:dyDescent="0.25">
      <c r="A10" s="91"/>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row>
    <row r="11" spans="1:29" x14ac:dyDescent="0.25">
      <c r="A11" s="91"/>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row>
    <row r="12" spans="1:29" x14ac:dyDescent="0.25">
      <c r="A12" s="91"/>
      <c r="B12" s="91"/>
      <c r="C12" s="91"/>
      <c r="D12" s="91"/>
      <c r="E12" s="91"/>
      <c r="F12" s="91"/>
      <c r="G12" s="91"/>
      <c r="H12" s="91"/>
      <c r="I12" s="91"/>
      <c r="J12" s="91"/>
      <c r="K12" s="91"/>
      <c r="L12" s="91"/>
      <c r="M12" s="91"/>
      <c r="N12" s="91"/>
      <c r="O12" s="91"/>
      <c r="P12" s="91"/>
      <c r="Q12" s="91"/>
      <c r="R12" s="91"/>
      <c r="S12" s="91"/>
      <c r="T12" s="91"/>
      <c r="U12" s="91"/>
      <c r="V12" s="91"/>
      <c r="W12" s="91"/>
      <c r="X12" s="91"/>
      <c r="Y12" s="91"/>
      <c r="Z12" s="91"/>
      <c r="AA12" s="91"/>
      <c r="AB12" s="91"/>
      <c r="AC12" s="91"/>
    </row>
    <row r="13" spans="1:29" x14ac:dyDescent="0.25">
      <c r="A13" s="91"/>
      <c r="B13" s="91"/>
      <c r="C13" s="91"/>
      <c r="D13" s="91"/>
      <c r="E13" s="91"/>
      <c r="F13" s="91"/>
      <c r="G13" s="91"/>
      <c r="H13" s="91"/>
      <c r="I13" s="91"/>
      <c r="J13" s="91"/>
      <c r="K13" s="91"/>
      <c r="L13" s="91"/>
      <c r="M13" s="91"/>
      <c r="N13" s="91"/>
      <c r="O13" s="91"/>
      <c r="P13" s="91"/>
      <c r="Q13" s="91"/>
      <c r="R13" s="91"/>
      <c r="S13" s="91"/>
      <c r="T13" s="91"/>
      <c r="U13" s="91"/>
      <c r="V13" s="91"/>
      <c r="W13" s="91"/>
      <c r="X13" s="91"/>
      <c r="Y13" s="91"/>
      <c r="Z13" s="91"/>
      <c r="AA13" s="91"/>
      <c r="AB13" s="91"/>
      <c r="AC13" s="91"/>
    </row>
    <row r="14" spans="1:29" x14ac:dyDescent="0.25">
      <c r="A14" s="91"/>
      <c r="B14" s="91"/>
      <c r="C14" s="91"/>
      <c r="D14" s="91"/>
      <c r="E14" s="91"/>
      <c r="F14" s="91"/>
      <c r="G14" s="91"/>
      <c r="H14" s="91"/>
      <c r="I14" s="91"/>
      <c r="J14" s="91"/>
      <c r="K14" s="91"/>
      <c r="L14" s="91"/>
      <c r="M14" s="91"/>
      <c r="N14" s="91"/>
      <c r="O14" s="91"/>
      <c r="P14" s="91"/>
      <c r="Q14" s="91"/>
      <c r="R14" s="91"/>
      <c r="S14" s="91"/>
      <c r="T14" s="91"/>
      <c r="U14" s="91"/>
      <c r="V14" s="91"/>
      <c r="W14" s="91"/>
      <c r="X14" s="91"/>
      <c r="Y14" s="91"/>
      <c r="Z14" s="91"/>
      <c r="AA14" s="91"/>
      <c r="AB14" s="91"/>
      <c r="AC14" s="91"/>
    </row>
    <row r="15" spans="1:29" x14ac:dyDescent="0.25">
      <c r="A15" s="91"/>
      <c r="B15" s="91"/>
      <c r="C15" s="91"/>
      <c r="D15" s="91"/>
      <c r="E15" s="91"/>
      <c r="F15" s="91"/>
      <c r="G15" s="91"/>
      <c r="H15" s="91"/>
      <c r="I15" s="91"/>
      <c r="J15" s="91"/>
      <c r="K15" s="91"/>
      <c r="L15" s="91"/>
      <c r="M15" s="91"/>
      <c r="N15" s="91"/>
      <c r="O15" s="91"/>
      <c r="P15" s="91"/>
      <c r="Q15" s="91"/>
      <c r="R15" s="91"/>
      <c r="S15" s="91"/>
      <c r="T15" s="91"/>
      <c r="U15" s="91"/>
      <c r="V15" s="91"/>
      <c r="W15" s="91"/>
      <c r="X15" s="91"/>
      <c r="Y15" s="91"/>
      <c r="Z15" s="91"/>
      <c r="AA15" s="91"/>
      <c r="AB15" s="91"/>
      <c r="AC15" s="91"/>
    </row>
    <row r="16" spans="1:29" x14ac:dyDescent="0.25">
      <c r="A16" s="91"/>
      <c r="B16" s="91"/>
      <c r="C16" s="91"/>
      <c r="D16" s="91"/>
      <c r="E16" s="91"/>
      <c r="F16" s="91"/>
      <c r="G16" s="91"/>
      <c r="H16" s="91"/>
      <c r="I16" s="91"/>
      <c r="J16" s="91"/>
      <c r="K16" s="91"/>
      <c r="L16" s="91"/>
      <c r="M16" s="91"/>
      <c r="N16" s="91"/>
      <c r="O16" s="91"/>
      <c r="P16" s="91"/>
      <c r="Q16" s="91"/>
      <c r="R16" s="91"/>
      <c r="S16" s="91"/>
      <c r="T16" s="91"/>
      <c r="U16" s="91"/>
      <c r="V16" s="91"/>
      <c r="W16" s="91"/>
      <c r="X16" s="91"/>
      <c r="Y16" s="91"/>
      <c r="Z16" s="91"/>
      <c r="AA16" s="91"/>
      <c r="AB16" s="91"/>
      <c r="AC16" s="91"/>
    </row>
    <row r="17" spans="1:49" x14ac:dyDescent="0.25">
      <c r="A17" s="91"/>
      <c r="B17" s="91"/>
      <c r="C17" s="91"/>
      <c r="D17" s="91"/>
      <c r="E17" s="91"/>
      <c r="F17" s="91"/>
      <c r="G17" s="91"/>
      <c r="H17" s="91"/>
      <c r="I17" s="91"/>
      <c r="J17" s="91"/>
      <c r="K17" s="91"/>
      <c r="L17" s="91"/>
      <c r="M17" s="91"/>
      <c r="N17" s="91"/>
      <c r="O17" s="91"/>
      <c r="P17" s="91"/>
      <c r="Q17" s="91"/>
      <c r="R17" s="91"/>
      <c r="S17" s="91"/>
      <c r="T17" s="91"/>
      <c r="U17" s="91"/>
      <c r="V17" s="91"/>
      <c r="W17" s="91"/>
      <c r="X17" s="91"/>
      <c r="Y17" s="91"/>
      <c r="Z17" s="91"/>
      <c r="AA17" s="91"/>
      <c r="AB17" s="91"/>
      <c r="AC17" s="91"/>
    </row>
    <row r="18" spans="1:49" x14ac:dyDescent="0.25">
      <c r="A18" s="91"/>
      <c r="B18" s="91"/>
      <c r="C18" s="91"/>
      <c r="D18" s="91"/>
      <c r="E18" s="91"/>
      <c r="F18" s="91"/>
      <c r="G18" s="91"/>
      <c r="H18" s="91"/>
      <c r="I18" s="91"/>
      <c r="J18" s="91"/>
      <c r="K18" s="91"/>
      <c r="L18" s="91"/>
      <c r="M18" s="91"/>
      <c r="N18" s="91"/>
      <c r="O18" s="91"/>
      <c r="P18" s="91"/>
      <c r="Q18" s="91"/>
      <c r="R18" s="91"/>
      <c r="S18" s="91"/>
      <c r="T18" s="91"/>
      <c r="U18" s="91"/>
      <c r="V18" s="91"/>
      <c r="W18" s="91"/>
      <c r="X18" s="91"/>
      <c r="Y18" s="91"/>
      <c r="Z18" s="91"/>
      <c r="AA18" s="91"/>
      <c r="AB18" s="91"/>
      <c r="AC18" s="91"/>
    </row>
    <row r="19" spans="1:49" x14ac:dyDescent="0.25">
      <c r="A19" s="91"/>
      <c r="B19" s="91"/>
      <c r="C19" s="91"/>
      <c r="D19" s="91"/>
      <c r="E19" s="91"/>
      <c r="F19" s="91"/>
      <c r="G19" s="91"/>
      <c r="H19" s="91"/>
      <c r="I19" s="91"/>
      <c r="J19" s="91"/>
      <c r="K19" s="91"/>
      <c r="L19" s="91"/>
      <c r="M19" s="91"/>
      <c r="N19" s="91"/>
      <c r="O19" s="91"/>
      <c r="P19" s="91"/>
      <c r="Q19" s="91"/>
      <c r="R19" s="91"/>
      <c r="S19" s="91"/>
      <c r="T19" s="91"/>
      <c r="U19" s="91"/>
      <c r="V19" s="91"/>
      <c r="W19" s="91"/>
      <c r="X19" s="91"/>
      <c r="Y19" s="91"/>
      <c r="Z19" s="91"/>
      <c r="AA19" s="91"/>
      <c r="AB19" s="91"/>
      <c r="AC19" s="91"/>
    </row>
    <row r="21" spans="1:49" ht="18.75" x14ac:dyDescent="0.3">
      <c r="A21" s="92" t="s">
        <v>190</v>
      </c>
      <c r="B21" s="93"/>
      <c r="C21" s="93"/>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c r="AR21" s="93"/>
      <c r="AS21" s="93"/>
      <c r="AT21" s="93"/>
      <c r="AU21" s="93"/>
      <c r="AV21" s="93"/>
      <c r="AW21" s="93"/>
    </row>
    <row r="22" spans="1:49" x14ac:dyDescent="0.25">
      <c r="A22" s="93"/>
      <c r="B22" s="93"/>
      <c r="C22" s="93"/>
      <c r="D22" s="93"/>
      <c r="E22" s="93"/>
      <c r="F22" s="93"/>
      <c r="G22" s="93"/>
      <c r="H22" s="93"/>
      <c r="I22" s="93"/>
      <c r="J22" s="93"/>
      <c r="K22" s="93"/>
      <c r="L22" s="93"/>
      <c r="M22" s="93"/>
      <c r="N22" s="93"/>
      <c r="O22" s="93"/>
      <c r="P22" s="93"/>
      <c r="Q22" s="93"/>
      <c r="R22" s="93"/>
      <c r="S22" s="93"/>
      <c r="T22" s="93"/>
      <c r="U22" s="93"/>
      <c r="V22" s="93"/>
      <c r="W22" s="93"/>
      <c r="X22" s="93"/>
      <c r="Y22" s="93"/>
      <c r="Z22" s="93"/>
      <c r="AA22" s="93"/>
      <c r="AB22" s="93"/>
      <c r="AC22" s="93"/>
      <c r="AD22" s="93"/>
      <c r="AE22" s="93"/>
      <c r="AF22" s="93"/>
      <c r="AG22" s="93"/>
      <c r="AH22" s="93"/>
      <c r="AI22" s="93"/>
      <c r="AJ22" s="93"/>
      <c r="AK22" s="93"/>
      <c r="AL22" s="93"/>
      <c r="AM22" s="93"/>
      <c r="AN22" s="93"/>
      <c r="AO22" s="93"/>
      <c r="AP22" s="93"/>
      <c r="AQ22" s="93"/>
      <c r="AR22" s="93"/>
      <c r="AS22" s="93"/>
      <c r="AT22" s="93"/>
      <c r="AU22" s="93"/>
      <c r="AV22" s="93"/>
      <c r="AW22" s="93"/>
    </row>
    <row r="23" spans="1:49" x14ac:dyDescent="0.25">
      <c r="A23" s="93"/>
      <c r="B23" s="93"/>
      <c r="C23" s="93"/>
      <c r="D23" s="93"/>
      <c r="E23" s="93"/>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93"/>
      <c r="AI23" s="93"/>
      <c r="AJ23" s="93"/>
      <c r="AK23" s="93"/>
      <c r="AL23" s="93"/>
      <c r="AM23" s="93"/>
      <c r="AN23" s="93"/>
      <c r="AO23" s="93"/>
      <c r="AP23" s="93"/>
      <c r="AQ23" s="93"/>
      <c r="AR23" s="93"/>
      <c r="AS23" s="93"/>
      <c r="AT23" s="93"/>
      <c r="AU23" s="93"/>
      <c r="AV23" s="93"/>
      <c r="AW23" s="93"/>
    </row>
    <row r="24" spans="1:49" x14ac:dyDescent="0.25">
      <c r="A24" s="93"/>
      <c r="B24" s="93"/>
      <c r="C24" s="93"/>
      <c r="D24" s="93"/>
      <c r="E24" s="93"/>
      <c r="F24" s="93"/>
      <c r="G24" s="93"/>
      <c r="H24" s="93"/>
      <c r="I24" s="93"/>
      <c r="J24" s="93"/>
      <c r="K24" s="93"/>
      <c r="L24" s="93"/>
      <c r="M24" s="93"/>
      <c r="N24" s="93"/>
      <c r="O24" s="93"/>
      <c r="P24" s="93"/>
      <c r="Q24" s="93"/>
      <c r="R24" s="93"/>
      <c r="S24" s="93"/>
      <c r="T24" s="93"/>
      <c r="U24" s="93"/>
      <c r="V24" s="93"/>
      <c r="W24" s="93"/>
      <c r="X24" s="93"/>
      <c r="Y24" s="93"/>
      <c r="Z24" s="93"/>
      <c r="AA24" s="93"/>
      <c r="AB24" s="93"/>
      <c r="AC24" s="93"/>
      <c r="AD24" s="93"/>
      <c r="AE24" s="93"/>
      <c r="AF24" s="93"/>
      <c r="AG24" s="93"/>
      <c r="AH24" s="93"/>
      <c r="AI24" s="93"/>
      <c r="AJ24" s="93"/>
      <c r="AK24" s="93"/>
      <c r="AL24" s="93"/>
      <c r="AM24" s="93"/>
      <c r="AN24" s="93"/>
      <c r="AO24" s="93"/>
      <c r="AP24" s="93"/>
      <c r="AQ24" s="93"/>
      <c r="AR24" s="93"/>
      <c r="AS24" s="93"/>
      <c r="AT24" s="93"/>
      <c r="AU24" s="93"/>
      <c r="AV24" s="93"/>
      <c r="AW24" s="93"/>
    </row>
    <row r="25" spans="1:49" x14ac:dyDescent="0.25">
      <c r="A25" s="93"/>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row>
    <row r="26" spans="1:49" x14ac:dyDescent="0.25">
      <c r="A26" s="93"/>
      <c r="B26" s="93"/>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row>
    <row r="27" spans="1:49" x14ac:dyDescent="0.25">
      <c r="A27" s="93"/>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row>
    <row r="28" spans="1:49" x14ac:dyDescent="0.25">
      <c r="A28" s="93"/>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row>
    <row r="29" spans="1:49" x14ac:dyDescent="0.25">
      <c r="A29" s="93"/>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row>
    <row r="30" spans="1:49" x14ac:dyDescent="0.25">
      <c r="A30" s="93"/>
      <c r="B30" s="93"/>
      <c r="C30" s="93"/>
      <c r="D30" s="93"/>
      <c r="E30" s="93"/>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row>
    <row r="31" spans="1:49" x14ac:dyDescent="0.25">
      <c r="A31" s="93"/>
      <c r="B31" s="93"/>
      <c r="C31" s="93"/>
      <c r="D31" s="93"/>
      <c r="E31" s="93"/>
      <c r="F31" s="93"/>
      <c r="G31" s="93"/>
      <c r="H31" s="93"/>
      <c r="I31" s="93"/>
      <c r="J31" s="93"/>
      <c r="K31" s="93"/>
      <c r="L31" s="93"/>
      <c r="M31" s="93"/>
      <c r="N31" s="93"/>
      <c r="O31" s="93"/>
      <c r="P31" s="93"/>
      <c r="Q31" s="93"/>
      <c r="R31" s="93"/>
      <c r="S31" s="93"/>
      <c r="T31" s="93"/>
      <c r="U31" s="93"/>
      <c r="V31" s="93"/>
      <c r="W31" s="93"/>
      <c r="X31" s="93"/>
      <c r="Y31" s="93"/>
      <c r="Z31" s="93"/>
      <c r="AA31" s="93"/>
      <c r="AB31" s="93"/>
      <c r="AC31" s="93"/>
      <c r="AD31" s="93"/>
      <c r="AE31" s="93"/>
      <c r="AF31" s="93"/>
      <c r="AG31" s="93"/>
      <c r="AH31" s="93"/>
      <c r="AI31" s="93"/>
      <c r="AJ31" s="93"/>
      <c r="AK31" s="93"/>
      <c r="AL31" s="93"/>
      <c r="AM31" s="93"/>
      <c r="AN31" s="93"/>
      <c r="AO31" s="93"/>
      <c r="AP31" s="93"/>
      <c r="AQ31" s="93"/>
      <c r="AR31" s="93"/>
      <c r="AS31" s="93"/>
      <c r="AT31" s="93"/>
      <c r="AU31" s="93"/>
      <c r="AV31" s="93"/>
      <c r="AW31" s="93"/>
    </row>
    <row r="32" spans="1:49" x14ac:dyDescent="0.25">
      <c r="A32" s="93"/>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row>
    <row r="33" spans="1:49" x14ac:dyDescent="0.25">
      <c r="A33" s="93"/>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row>
    <row r="34" spans="1:49" x14ac:dyDescent="0.25">
      <c r="A34" s="93"/>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row>
    <row r="35" spans="1:49" x14ac:dyDescent="0.25">
      <c r="A35" s="93"/>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row>
    <row r="36" spans="1:49" x14ac:dyDescent="0.25">
      <c r="A36" s="93"/>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row>
    <row r="37" spans="1:49" x14ac:dyDescent="0.25">
      <c r="A37" s="93"/>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row>
    <row r="38" spans="1:49" x14ac:dyDescent="0.25">
      <c r="A38" s="93"/>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row>
    <row r="39" spans="1:49" x14ac:dyDescent="0.25">
      <c r="A39" s="93"/>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row>
    <row r="40" spans="1:49" x14ac:dyDescent="0.25">
      <c r="A40" s="93" t="s">
        <v>192</v>
      </c>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row>
    <row r="41" spans="1:49" x14ac:dyDescent="0.25">
      <c r="A41" s="93"/>
      <c r="B41" s="93"/>
      <c r="C41" s="93"/>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row>
    <row r="42" spans="1:49" x14ac:dyDescent="0.25">
      <c r="A42" s="93"/>
      <c r="B42" s="93"/>
      <c r="C42" s="93"/>
      <c r="D42" s="93"/>
      <c r="E42" s="93"/>
      <c r="F42" s="93"/>
      <c r="G42" s="93"/>
      <c r="H42" s="93"/>
      <c r="I42" s="93"/>
      <c r="J42" s="93"/>
      <c r="K42" s="93"/>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AP42" s="93"/>
      <c r="AQ42" s="93"/>
      <c r="AR42" s="93"/>
      <c r="AS42" s="93"/>
      <c r="AT42" s="93"/>
      <c r="AU42" s="93"/>
      <c r="AV42" s="93"/>
      <c r="AW42" s="93"/>
    </row>
    <row r="43" spans="1:49" x14ac:dyDescent="0.25">
      <c r="A43" s="93"/>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row>
    <row r="44" spans="1:49" x14ac:dyDescent="0.25">
      <c r="A44" s="93"/>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row>
    <row r="45" spans="1:49" x14ac:dyDescent="0.25">
      <c r="A45" s="93"/>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row>
    <row r="46" spans="1:49" x14ac:dyDescent="0.25">
      <c r="A46" s="93"/>
      <c r="B46" s="93"/>
      <c r="C46" s="93"/>
      <c r="D46" s="93"/>
      <c r="E46" s="93"/>
      <c r="F46" s="93"/>
      <c r="G46" s="93"/>
      <c r="H46" s="93"/>
      <c r="I46" s="93"/>
      <c r="J46" s="93"/>
      <c r="K46" s="93"/>
      <c r="L46" s="93"/>
      <c r="M46" s="93"/>
      <c r="N46" s="93"/>
      <c r="O46" s="93"/>
      <c r="P46" s="93"/>
      <c r="Q46" s="93"/>
      <c r="R46" s="93"/>
      <c r="S46" s="93"/>
      <c r="T46" s="93"/>
      <c r="U46" s="93"/>
      <c r="V46" s="93"/>
      <c r="W46" s="93"/>
      <c r="X46" s="93"/>
      <c r="Y46" s="93"/>
      <c r="Z46" s="93"/>
      <c r="AA46" s="93"/>
      <c r="AB46" s="93"/>
      <c r="AC46" s="93"/>
      <c r="AD46" s="93"/>
      <c r="AE46" s="93"/>
      <c r="AF46" s="93"/>
      <c r="AG46" s="93"/>
      <c r="AH46" s="93"/>
      <c r="AI46" s="93"/>
      <c r="AJ46" s="93"/>
      <c r="AK46" s="93"/>
      <c r="AL46" s="93"/>
      <c r="AM46" s="93"/>
      <c r="AN46" s="93"/>
      <c r="AO46" s="93"/>
      <c r="AP46" s="93"/>
      <c r="AQ46" s="93"/>
      <c r="AR46" s="93"/>
      <c r="AS46" s="93"/>
      <c r="AT46" s="93"/>
      <c r="AU46" s="93"/>
      <c r="AV46" s="93"/>
      <c r="AW46" s="93"/>
    </row>
    <row r="47" spans="1:49" x14ac:dyDescent="0.25">
      <c r="A47" s="93"/>
      <c r="B47" s="93"/>
      <c r="C47" s="93"/>
      <c r="D47" s="93"/>
      <c r="E47" s="93"/>
      <c r="F47" s="93"/>
      <c r="G47" s="93"/>
      <c r="H47" s="93"/>
      <c r="I47" s="93"/>
      <c r="J47" s="93"/>
      <c r="K47" s="93"/>
      <c r="L47" s="93"/>
      <c r="M47" s="93"/>
      <c r="N47" s="93"/>
      <c r="O47" s="93"/>
      <c r="P47" s="93"/>
      <c r="Q47" s="93"/>
      <c r="R47" s="93"/>
      <c r="S47" s="93"/>
      <c r="T47" s="93"/>
      <c r="U47" s="93"/>
      <c r="V47" s="93"/>
      <c r="W47" s="93"/>
      <c r="X47" s="93"/>
      <c r="Y47" s="93"/>
      <c r="Z47" s="93"/>
      <c r="AA47" s="93"/>
      <c r="AB47" s="93"/>
      <c r="AC47" s="93"/>
      <c r="AD47" s="93"/>
      <c r="AE47" s="93"/>
      <c r="AF47" s="93"/>
      <c r="AG47" s="93"/>
      <c r="AH47" s="93"/>
      <c r="AI47" s="93"/>
      <c r="AJ47" s="93"/>
      <c r="AK47" s="93"/>
      <c r="AL47" s="93"/>
      <c r="AM47" s="93"/>
      <c r="AN47" s="93"/>
      <c r="AO47" s="93"/>
      <c r="AP47" s="93"/>
      <c r="AQ47" s="93"/>
      <c r="AR47" s="93"/>
      <c r="AS47" s="93"/>
      <c r="AT47" s="93"/>
      <c r="AU47" s="93"/>
      <c r="AV47" s="93"/>
      <c r="AW47" s="93"/>
    </row>
    <row r="48" spans="1:49" x14ac:dyDescent="0.25">
      <c r="A48" s="93"/>
      <c r="B48" s="93"/>
      <c r="C48" s="93"/>
      <c r="D48" s="93"/>
      <c r="E48" s="93"/>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c r="AE48" s="93"/>
      <c r="AF48" s="93"/>
      <c r="AG48" s="93"/>
      <c r="AH48" s="93"/>
      <c r="AI48" s="93"/>
      <c r="AJ48" s="93"/>
      <c r="AK48" s="93"/>
      <c r="AL48" s="93"/>
      <c r="AM48" s="93"/>
      <c r="AN48" s="93"/>
      <c r="AO48" s="93"/>
      <c r="AP48" s="93"/>
      <c r="AQ48" s="93"/>
      <c r="AR48" s="93"/>
      <c r="AS48" s="93"/>
      <c r="AT48" s="93"/>
      <c r="AU48" s="93"/>
      <c r="AV48" s="93"/>
      <c r="AW48" s="93"/>
    </row>
    <row r="49" spans="1:49" x14ac:dyDescent="0.25">
      <c r="A49" s="93"/>
      <c r="B49" s="93"/>
      <c r="C49" s="93"/>
      <c r="D49" s="93"/>
      <c r="E49" s="93"/>
      <c r="F49" s="93"/>
      <c r="G49" s="93"/>
      <c r="H49" s="93"/>
      <c r="I49" s="93"/>
      <c r="J49" s="93"/>
      <c r="K49" s="93"/>
      <c r="L49" s="93"/>
      <c r="M49" s="93"/>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93"/>
      <c r="AN49" s="93"/>
      <c r="AO49" s="93"/>
      <c r="AP49" s="93"/>
      <c r="AQ49" s="93"/>
      <c r="AR49" s="93"/>
      <c r="AS49" s="93"/>
      <c r="AT49" s="93"/>
      <c r="AU49" s="93"/>
      <c r="AV49" s="93"/>
      <c r="AW49" s="93"/>
    </row>
    <row r="50" spans="1:49" x14ac:dyDescent="0.25">
      <c r="A50" s="93"/>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row>
    <row r="51" spans="1:49" x14ac:dyDescent="0.25">
      <c r="A51" s="93"/>
      <c r="B51" s="93"/>
      <c r="C51" s="93"/>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c r="AO51" s="93"/>
      <c r="AP51" s="93"/>
      <c r="AQ51" s="93"/>
      <c r="AR51" s="93"/>
      <c r="AS51" s="93"/>
      <c r="AT51" s="93"/>
      <c r="AU51" s="93"/>
      <c r="AV51" s="93"/>
      <c r="AW51" s="93"/>
    </row>
    <row r="52" spans="1:49" x14ac:dyDescent="0.25">
      <c r="A52" s="93"/>
      <c r="B52" s="93"/>
      <c r="C52" s="93"/>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c r="AR52" s="93"/>
      <c r="AS52" s="93"/>
      <c r="AT52" s="93"/>
      <c r="AU52" s="93"/>
      <c r="AV52" s="93"/>
      <c r="AW52" s="93"/>
    </row>
    <row r="53" spans="1:49" x14ac:dyDescent="0.25">
      <c r="A53" s="93"/>
      <c r="B53" s="93"/>
      <c r="C53" s="93"/>
      <c r="D53" s="93"/>
      <c r="E53" s="93"/>
      <c r="F53" s="93"/>
      <c r="G53" s="93"/>
      <c r="H53" s="93"/>
      <c r="I53" s="93"/>
      <c r="J53" s="93"/>
      <c r="K53" s="93"/>
      <c r="L53" s="93"/>
      <c r="M53" s="93"/>
      <c r="N53" s="93"/>
      <c r="O53" s="93"/>
      <c r="P53" s="93"/>
      <c r="Q53" s="93"/>
      <c r="R53" s="93"/>
      <c r="S53" s="93"/>
      <c r="T53" s="93"/>
      <c r="U53" s="93"/>
      <c r="V53" s="93"/>
      <c r="W53" s="93"/>
      <c r="X53" s="93"/>
      <c r="Y53" s="93"/>
      <c r="Z53" s="93"/>
      <c r="AA53" s="93"/>
      <c r="AB53" s="93"/>
      <c r="AC53" s="93"/>
      <c r="AD53" s="93"/>
      <c r="AE53" s="93"/>
      <c r="AF53" s="93"/>
      <c r="AG53" s="93"/>
      <c r="AH53" s="93"/>
      <c r="AI53" s="93"/>
      <c r="AJ53" s="93"/>
      <c r="AK53" s="93"/>
      <c r="AL53" s="93"/>
      <c r="AM53" s="93"/>
      <c r="AN53" s="93"/>
      <c r="AO53" s="93"/>
      <c r="AP53" s="93"/>
      <c r="AQ53" s="93"/>
      <c r="AR53" s="93"/>
      <c r="AS53" s="93"/>
      <c r="AT53" s="93"/>
      <c r="AU53" s="93"/>
      <c r="AV53" s="93"/>
      <c r="AW53" s="93"/>
    </row>
    <row r="54" spans="1:49" x14ac:dyDescent="0.25">
      <c r="A54" s="93"/>
      <c r="B54" s="93"/>
      <c r="C54" s="93"/>
      <c r="D54" s="93"/>
      <c r="E54" s="93"/>
      <c r="F54" s="93"/>
      <c r="G54" s="93"/>
      <c r="H54" s="93"/>
      <c r="I54" s="93"/>
      <c r="J54" s="93"/>
      <c r="K54" s="93"/>
      <c r="L54" s="93"/>
      <c r="M54" s="93"/>
      <c r="N54" s="93"/>
      <c r="O54" s="93"/>
      <c r="P54" s="93"/>
      <c r="Q54" s="93"/>
      <c r="R54" s="93"/>
      <c r="S54" s="93"/>
      <c r="T54" s="93"/>
      <c r="U54" s="93"/>
      <c r="V54" s="93"/>
      <c r="W54" s="93"/>
      <c r="X54" s="93"/>
      <c r="Y54" s="93"/>
      <c r="Z54" s="93"/>
      <c r="AA54" s="93"/>
      <c r="AB54" s="93"/>
      <c r="AC54" s="93"/>
      <c r="AD54" s="93"/>
      <c r="AE54" s="93"/>
      <c r="AF54" s="93"/>
      <c r="AG54" s="93"/>
      <c r="AH54" s="93"/>
      <c r="AI54" s="93"/>
      <c r="AJ54" s="93"/>
      <c r="AK54" s="93"/>
      <c r="AL54" s="93"/>
      <c r="AM54" s="93"/>
      <c r="AN54" s="93"/>
      <c r="AO54" s="93"/>
      <c r="AP54" s="93"/>
      <c r="AQ54" s="93"/>
      <c r="AR54" s="93"/>
      <c r="AS54" s="93"/>
      <c r="AT54" s="93"/>
      <c r="AU54" s="93"/>
      <c r="AV54" s="93"/>
      <c r="AW54" s="93"/>
    </row>
    <row r="55" spans="1:49" x14ac:dyDescent="0.25">
      <c r="A55" s="93"/>
      <c r="B55" s="93"/>
      <c r="C55" s="93"/>
      <c r="D55" s="93"/>
      <c r="E55" s="93"/>
      <c r="F55" s="93"/>
      <c r="G55" s="93"/>
      <c r="H55" s="93"/>
      <c r="I55" s="93"/>
      <c r="J55" s="93"/>
      <c r="K55" s="93"/>
      <c r="L55" s="93"/>
      <c r="M55" s="93"/>
      <c r="N55" s="93"/>
      <c r="O55" s="93"/>
      <c r="P55" s="93"/>
      <c r="Q55" s="93"/>
      <c r="R55" s="93"/>
      <c r="S55" s="93"/>
      <c r="T55" s="93"/>
      <c r="U55" s="93"/>
      <c r="V55" s="93"/>
      <c r="W55" s="93"/>
      <c r="X55" s="93"/>
      <c r="Y55" s="93"/>
      <c r="Z55" s="93"/>
      <c r="AA55" s="93"/>
      <c r="AB55" s="93"/>
      <c r="AC55" s="93"/>
      <c r="AD55" s="93"/>
      <c r="AE55" s="93"/>
      <c r="AF55" s="93"/>
      <c r="AG55" s="93"/>
      <c r="AH55" s="93"/>
      <c r="AI55" s="93"/>
      <c r="AJ55" s="93"/>
      <c r="AK55" s="93"/>
      <c r="AL55" s="93"/>
      <c r="AM55" s="93"/>
      <c r="AN55" s="93"/>
      <c r="AO55" s="93"/>
      <c r="AP55" s="93"/>
      <c r="AQ55" s="93"/>
      <c r="AR55" s="93"/>
      <c r="AS55" s="93"/>
      <c r="AT55" s="93"/>
      <c r="AU55" s="93"/>
      <c r="AV55" s="93"/>
      <c r="AW55" s="93"/>
    </row>
    <row r="56" spans="1:49" x14ac:dyDescent="0.25">
      <c r="A56" s="93"/>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row>
    <row r="57" spans="1:49" x14ac:dyDescent="0.25">
      <c r="A57" s="93"/>
      <c r="B57" s="93"/>
      <c r="C57" s="93"/>
      <c r="D57" s="93"/>
      <c r="E57" s="93"/>
      <c r="F57" s="93"/>
      <c r="G57" s="93"/>
      <c r="H57" s="93"/>
      <c r="I57" s="93"/>
      <c r="J57" s="93"/>
      <c r="K57" s="93"/>
      <c r="L57" s="93"/>
      <c r="M57" s="93"/>
      <c r="N57" s="93"/>
      <c r="O57" s="93"/>
      <c r="P57" s="93"/>
      <c r="Q57" s="93"/>
      <c r="R57" s="93"/>
      <c r="S57" s="93"/>
      <c r="T57" s="93"/>
      <c r="U57" s="93"/>
      <c r="V57" s="93"/>
      <c r="W57" s="93"/>
      <c r="X57" s="93"/>
      <c r="Y57" s="93"/>
      <c r="Z57" s="93"/>
      <c r="AA57" s="93"/>
      <c r="AB57" s="93"/>
      <c r="AC57" s="93"/>
      <c r="AD57" s="93"/>
      <c r="AE57" s="93"/>
      <c r="AF57" s="93"/>
      <c r="AG57" s="93"/>
      <c r="AH57" s="93"/>
      <c r="AI57" s="93"/>
      <c r="AJ57" s="93"/>
      <c r="AK57" s="93"/>
      <c r="AL57" s="93"/>
      <c r="AM57" s="93"/>
      <c r="AN57" s="93"/>
      <c r="AO57" s="93"/>
      <c r="AP57" s="93"/>
      <c r="AQ57" s="93"/>
      <c r="AR57" s="93"/>
      <c r="AS57" s="93"/>
      <c r="AT57" s="93"/>
      <c r="AU57" s="93"/>
      <c r="AV57" s="93"/>
      <c r="AW57" s="93"/>
    </row>
    <row r="58" spans="1:49" ht="17.45" customHeight="1" x14ac:dyDescent="0.25"/>
    <row r="59" spans="1:49" ht="18.75" x14ac:dyDescent="0.3">
      <c r="A59" s="94" t="s">
        <v>191</v>
      </c>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5"/>
    </row>
    <row r="60" spans="1:49" x14ac:dyDescent="0.25">
      <c r="A60" s="95"/>
      <c r="B60" s="95"/>
      <c r="C60" s="95"/>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95"/>
      <c r="AL60" s="95"/>
    </row>
    <row r="61" spans="1:49" x14ac:dyDescent="0.25">
      <c r="A61" s="95"/>
      <c r="B61" s="95"/>
      <c r="C61" s="95"/>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5"/>
    </row>
    <row r="62" spans="1:49" x14ac:dyDescent="0.25">
      <c r="A62" s="95"/>
      <c r="B62" s="95"/>
      <c r="C62" s="95"/>
      <c r="D62" s="95"/>
      <c r="E62" s="95"/>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95"/>
      <c r="AL62" s="95"/>
    </row>
    <row r="63" spans="1:49" x14ac:dyDescent="0.25">
      <c r="A63" s="95"/>
      <c r="B63" s="95"/>
      <c r="C63" s="95"/>
      <c r="D63" s="95"/>
      <c r="E63" s="95"/>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5"/>
      <c r="AK63" s="95"/>
      <c r="AL63" s="95"/>
    </row>
    <row r="64" spans="1:49" x14ac:dyDescent="0.25">
      <c r="A64" s="95"/>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row>
    <row r="65" spans="1:38" x14ac:dyDescent="0.25">
      <c r="A65" s="95"/>
      <c r="B65" s="95"/>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row>
    <row r="66" spans="1:38" x14ac:dyDescent="0.25">
      <c r="A66" s="95"/>
      <c r="B66" s="95"/>
      <c r="C66" s="95"/>
      <c r="D66" s="95"/>
      <c r="E66" s="95"/>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5"/>
      <c r="AK66" s="95"/>
      <c r="AL66" s="95"/>
    </row>
    <row r="67" spans="1:38" x14ac:dyDescent="0.25">
      <c r="A67" s="95"/>
      <c r="B67" s="95"/>
      <c r="C67" s="95"/>
      <c r="D67" s="95"/>
      <c r="E67" s="95"/>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5"/>
      <c r="AK67" s="95"/>
      <c r="AL67" s="95"/>
    </row>
    <row r="68" spans="1:38" x14ac:dyDescent="0.25">
      <c r="A68" s="95"/>
      <c r="B68" s="95"/>
      <c r="C68" s="95"/>
      <c r="D68" s="95"/>
      <c r="E68" s="95"/>
      <c r="F68" s="95"/>
      <c r="G68" s="95"/>
      <c r="H68" s="95"/>
      <c r="I68" s="95"/>
      <c r="J68" s="95"/>
      <c r="K68" s="95"/>
      <c r="L68" s="95"/>
      <c r="M68" s="95"/>
      <c r="N68" s="95"/>
      <c r="O68" s="95"/>
      <c r="P68" s="95"/>
      <c r="Q68" s="95"/>
      <c r="R68" s="95"/>
      <c r="S68" s="95"/>
      <c r="T68" s="95"/>
      <c r="U68" s="95"/>
      <c r="V68" s="95"/>
      <c r="W68" s="95"/>
      <c r="X68" s="95"/>
      <c r="Y68" s="95"/>
      <c r="Z68" s="95"/>
      <c r="AA68" s="95"/>
      <c r="AB68" s="95"/>
      <c r="AC68" s="95"/>
      <c r="AD68" s="95"/>
      <c r="AE68" s="95"/>
      <c r="AF68" s="95"/>
      <c r="AG68" s="95"/>
      <c r="AH68" s="95"/>
      <c r="AI68" s="95"/>
      <c r="AJ68" s="95"/>
      <c r="AK68" s="95"/>
      <c r="AL68" s="95"/>
    </row>
    <row r="69" spans="1:38" x14ac:dyDescent="0.25">
      <c r="A69" s="95"/>
      <c r="B69" s="95"/>
      <c r="C69" s="95"/>
      <c r="D69" s="95"/>
      <c r="E69" s="95"/>
      <c r="F69" s="95"/>
      <c r="G69" s="95"/>
      <c r="H69" s="95"/>
      <c r="I69" s="95"/>
      <c r="J69" s="95"/>
      <c r="K69" s="95"/>
      <c r="L69" s="95"/>
      <c r="M69" s="95"/>
      <c r="N69" s="95"/>
      <c r="O69" s="95"/>
      <c r="P69" s="95"/>
      <c r="Q69" s="95"/>
      <c r="R69" s="95"/>
      <c r="S69" s="95"/>
      <c r="T69" s="95"/>
      <c r="U69" s="95"/>
      <c r="V69" s="95"/>
      <c r="W69" s="95"/>
      <c r="X69" s="95"/>
      <c r="Y69" s="95"/>
      <c r="Z69" s="95"/>
      <c r="AA69" s="95"/>
      <c r="AB69" s="95"/>
      <c r="AC69" s="95"/>
      <c r="AD69" s="95"/>
      <c r="AE69" s="95"/>
      <c r="AF69" s="95"/>
      <c r="AG69" s="95"/>
      <c r="AH69" s="95"/>
      <c r="AI69" s="95"/>
      <c r="AJ69" s="95"/>
      <c r="AK69" s="95"/>
      <c r="AL69" s="95"/>
    </row>
    <row r="70" spans="1:38" x14ac:dyDescent="0.25">
      <c r="A70" s="95"/>
      <c r="B70" s="95"/>
      <c r="C70" s="95"/>
      <c r="D70" s="95"/>
      <c r="E70" s="95"/>
      <c r="F70" s="95"/>
      <c r="G70" s="95"/>
      <c r="H70" s="95"/>
      <c r="I70" s="95"/>
      <c r="J70" s="95"/>
      <c r="K70" s="95"/>
      <c r="L70" s="95"/>
      <c r="M70" s="95"/>
      <c r="N70" s="95"/>
      <c r="O70" s="95"/>
      <c r="P70" s="95"/>
      <c r="Q70" s="95"/>
      <c r="R70" s="95"/>
      <c r="S70" s="95"/>
      <c r="T70" s="95"/>
      <c r="U70" s="95"/>
      <c r="V70" s="95"/>
      <c r="W70" s="95"/>
      <c r="X70" s="95"/>
      <c r="Y70" s="95"/>
      <c r="Z70" s="95"/>
      <c r="AA70" s="95"/>
      <c r="AB70" s="95"/>
      <c r="AC70" s="95"/>
      <c r="AD70" s="95"/>
      <c r="AE70" s="95"/>
      <c r="AF70" s="95"/>
      <c r="AG70" s="95"/>
      <c r="AH70" s="95"/>
      <c r="AI70" s="95"/>
      <c r="AJ70" s="95"/>
      <c r="AK70" s="95"/>
      <c r="AL70" s="95"/>
    </row>
    <row r="71" spans="1:38" x14ac:dyDescent="0.25">
      <c r="A71" s="95"/>
      <c r="B71" s="95"/>
      <c r="C71" s="95"/>
      <c r="D71" s="95"/>
      <c r="E71" s="95"/>
      <c r="F71" s="95"/>
      <c r="G71" s="95"/>
      <c r="H71" s="95"/>
      <c r="I71" s="95"/>
      <c r="J71" s="95"/>
      <c r="K71" s="95"/>
      <c r="L71" s="95"/>
      <c r="M71" s="95"/>
      <c r="N71" s="95"/>
      <c r="O71" s="95"/>
      <c r="P71" s="95"/>
      <c r="Q71" s="95"/>
      <c r="R71" s="95"/>
      <c r="S71" s="95"/>
      <c r="T71" s="95"/>
      <c r="U71" s="95"/>
      <c r="V71" s="95"/>
      <c r="W71" s="95"/>
      <c r="X71" s="95"/>
      <c r="Y71" s="95"/>
      <c r="Z71" s="95"/>
      <c r="AA71" s="95"/>
      <c r="AB71" s="95"/>
      <c r="AC71" s="95"/>
      <c r="AD71" s="95"/>
      <c r="AE71" s="95"/>
      <c r="AF71" s="95"/>
      <c r="AG71" s="95"/>
      <c r="AH71" s="95"/>
      <c r="AI71" s="95"/>
      <c r="AJ71" s="95"/>
      <c r="AK71" s="95"/>
      <c r="AL71" s="95"/>
    </row>
    <row r="72" spans="1:38" x14ac:dyDescent="0.25">
      <c r="A72" s="95"/>
      <c r="B72" s="95"/>
      <c r="C72" s="95"/>
      <c r="D72" s="95"/>
      <c r="E72" s="95"/>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5"/>
      <c r="AK72" s="95"/>
      <c r="AL72" s="95"/>
    </row>
    <row r="73" spans="1:38" x14ac:dyDescent="0.25">
      <c r="A73" s="95"/>
      <c r="B73" s="95"/>
      <c r="C73" s="95"/>
      <c r="D73" s="95"/>
      <c r="E73" s="95"/>
      <c r="F73" s="95"/>
      <c r="G73" s="95"/>
      <c r="H73" s="95"/>
      <c r="I73" s="95"/>
      <c r="J73" s="95"/>
      <c r="K73" s="95"/>
      <c r="L73" s="95"/>
      <c r="M73" s="95"/>
      <c r="N73" s="95"/>
      <c r="O73" s="95"/>
      <c r="P73" s="95"/>
      <c r="Q73" s="95"/>
      <c r="R73" s="95"/>
      <c r="S73" s="95"/>
      <c r="T73" s="95"/>
      <c r="U73" s="95"/>
      <c r="V73" s="95"/>
      <c r="W73" s="95"/>
      <c r="X73" s="95"/>
      <c r="Y73" s="95"/>
      <c r="Z73" s="95"/>
      <c r="AA73" s="95"/>
      <c r="AB73" s="95"/>
      <c r="AC73" s="95"/>
      <c r="AD73" s="95"/>
      <c r="AE73" s="95"/>
      <c r="AF73" s="95"/>
      <c r="AG73" s="95"/>
      <c r="AH73" s="95"/>
      <c r="AI73" s="95"/>
      <c r="AJ73" s="95"/>
      <c r="AK73" s="95"/>
      <c r="AL73" s="95"/>
    </row>
    <row r="74" spans="1:38" x14ac:dyDescent="0.25">
      <c r="A74" s="95"/>
      <c r="B74" s="95"/>
      <c r="C74" s="95"/>
      <c r="D74" s="95"/>
      <c r="E74" s="95"/>
      <c r="F74" s="95"/>
      <c r="G74" s="95"/>
      <c r="H74" s="95"/>
      <c r="I74" s="95"/>
      <c r="J74" s="95"/>
      <c r="K74" s="95"/>
      <c r="L74" s="95"/>
      <c r="M74" s="95"/>
      <c r="N74" s="95"/>
      <c r="O74" s="95"/>
      <c r="P74" s="95"/>
      <c r="Q74" s="95"/>
      <c r="R74" s="95"/>
      <c r="S74" s="95"/>
      <c r="T74" s="95"/>
      <c r="U74" s="95"/>
      <c r="V74" s="95"/>
      <c r="W74" s="95"/>
      <c r="X74" s="95"/>
      <c r="Y74" s="95"/>
      <c r="Z74" s="95"/>
      <c r="AA74" s="95"/>
      <c r="AB74" s="95"/>
      <c r="AC74" s="95"/>
      <c r="AD74" s="95"/>
      <c r="AE74" s="95"/>
      <c r="AF74" s="95"/>
      <c r="AG74" s="95"/>
      <c r="AH74" s="95"/>
      <c r="AI74" s="95"/>
      <c r="AJ74" s="95"/>
      <c r="AK74" s="95"/>
      <c r="AL74" s="95"/>
    </row>
    <row r="75" spans="1:38" x14ac:dyDescent="0.25">
      <c r="A75" s="95"/>
      <c r="B75" s="95"/>
      <c r="C75" s="95"/>
      <c r="D75" s="95"/>
      <c r="E75" s="95"/>
      <c r="F75" s="95"/>
      <c r="G75" s="95"/>
      <c r="H75" s="95"/>
      <c r="I75" s="95"/>
      <c r="J75" s="95"/>
      <c r="K75" s="95"/>
      <c r="L75" s="95"/>
      <c r="M75" s="95"/>
      <c r="N75" s="95"/>
      <c r="O75" s="95"/>
      <c r="P75" s="95"/>
      <c r="Q75" s="95"/>
      <c r="R75" s="95"/>
      <c r="S75" s="95"/>
      <c r="T75" s="95"/>
      <c r="U75" s="95"/>
      <c r="V75" s="95"/>
      <c r="W75" s="95"/>
      <c r="X75" s="95"/>
      <c r="Y75" s="95"/>
      <c r="Z75" s="95"/>
      <c r="AA75" s="95"/>
      <c r="AB75" s="95"/>
      <c r="AC75" s="95"/>
      <c r="AD75" s="95"/>
      <c r="AE75" s="95"/>
      <c r="AF75" s="95"/>
      <c r="AG75" s="95"/>
      <c r="AH75" s="95"/>
      <c r="AI75" s="95"/>
      <c r="AJ75" s="95"/>
      <c r="AK75" s="95"/>
      <c r="AL75" s="95"/>
    </row>
    <row r="76" spans="1:38" x14ac:dyDescent="0.25">
      <c r="A76" s="95"/>
      <c r="B76" s="95"/>
      <c r="C76" s="95"/>
      <c r="D76" s="95"/>
      <c r="E76" s="95"/>
      <c r="F76" s="95"/>
      <c r="G76" s="95"/>
      <c r="H76" s="95"/>
      <c r="I76" s="95"/>
      <c r="J76" s="95"/>
      <c r="K76" s="95"/>
      <c r="L76" s="95"/>
      <c r="M76" s="95"/>
      <c r="N76" s="95"/>
      <c r="O76" s="95"/>
      <c r="P76" s="95"/>
      <c r="Q76" s="95"/>
      <c r="R76" s="95"/>
      <c r="S76" s="95"/>
      <c r="T76" s="95"/>
      <c r="U76" s="95"/>
      <c r="V76" s="95"/>
      <c r="W76" s="95"/>
      <c r="X76" s="95"/>
      <c r="Y76" s="95"/>
      <c r="Z76" s="95"/>
      <c r="AA76" s="95"/>
      <c r="AB76" s="95"/>
      <c r="AC76" s="95"/>
      <c r="AD76" s="95"/>
      <c r="AE76" s="95"/>
      <c r="AF76" s="95"/>
      <c r="AG76" s="95"/>
      <c r="AH76" s="95"/>
      <c r="AI76" s="95"/>
      <c r="AJ76" s="95"/>
      <c r="AK76" s="95"/>
      <c r="AL76" s="95"/>
    </row>
    <row r="77" spans="1:38" x14ac:dyDescent="0.25">
      <c r="A77" s="95"/>
      <c r="B77" s="95"/>
      <c r="C77" s="95"/>
      <c r="D77" s="95"/>
      <c r="E77" s="95"/>
      <c r="F77" s="95"/>
      <c r="G77" s="95"/>
      <c r="H77" s="95"/>
      <c r="I77" s="95"/>
      <c r="J77" s="95"/>
      <c r="K77" s="95"/>
      <c r="L77" s="95"/>
      <c r="M77" s="95"/>
      <c r="N77" s="95"/>
      <c r="O77" s="95"/>
      <c r="P77" s="95"/>
      <c r="Q77" s="95"/>
      <c r="R77" s="95"/>
      <c r="S77" s="95"/>
      <c r="T77" s="95"/>
      <c r="U77" s="95"/>
      <c r="V77" s="95"/>
      <c r="W77" s="95"/>
      <c r="X77" s="95"/>
      <c r="Y77" s="95"/>
      <c r="Z77" s="95"/>
      <c r="AA77" s="95"/>
      <c r="AB77" s="95"/>
      <c r="AC77" s="95"/>
      <c r="AD77" s="95"/>
      <c r="AE77" s="95"/>
      <c r="AF77" s="95"/>
      <c r="AG77" s="95"/>
      <c r="AH77" s="95"/>
      <c r="AI77" s="95"/>
      <c r="AJ77" s="95"/>
      <c r="AK77" s="95"/>
      <c r="AL77" s="95"/>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sheetPr>
  <dimension ref="A1:DI129"/>
  <sheetViews>
    <sheetView showGridLines="0" zoomScaleNormal="100" workbookViewId="0">
      <selection activeCell="L87" sqref="L87:M87"/>
    </sheetView>
  </sheetViews>
  <sheetFormatPr defaultColWidth="11.42578125" defaultRowHeight="15" x14ac:dyDescent="0.25"/>
  <cols>
    <col min="1" max="1" width="7.140625" style="13" customWidth="1"/>
    <col min="2" max="4" width="14.140625" style="13" customWidth="1"/>
    <col min="5" max="7" width="15.5703125" style="13" customWidth="1"/>
    <col min="8" max="11" width="13" style="13" customWidth="1"/>
    <col min="12" max="12" width="15.7109375" style="13" customWidth="1"/>
    <col min="13" max="14" width="16.85546875" style="13" customWidth="1"/>
    <col min="15" max="15" width="16.28515625" style="13" customWidth="1"/>
    <col min="16" max="17" width="15.5703125" style="13" customWidth="1"/>
    <col min="18" max="18" width="23.7109375" style="13" customWidth="1"/>
    <col min="19" max="19" width="16.7109375" style="13" customWidth="1"/>
    <col min="20" max="20" width="19.5703125" style="13" customWidth="1"/>
    <col min="21" max="21" width="18.85546875" style="13" customWidth="1"/>
    <col min="22" max="22" width="16.5703125" style="13" customWidth="1"/>
    <col min="23" max="23" width="19.140625" style="13" customWidth="1"/>
    <col min="24" max="24" width="15.5703125" style="13" customWidth="1"/>
    <col min="25" max="25" width="13.85546875" style="13" customWidth="1"/>
    <col min="26" max="26" width="13" style="13" customWidth="1"/>
    <col min="27" max="27" width="13.140625" style="13" customWidth="1"/>
    <col min="28" max="28" width="16.5703125" style="13" customWidth="1"/>
    <col min="29" max="29" width="13.140625" style="13" customWidth="1"/>
    <col min="30" max="30" width="8.28515625" style="13" customWidth="1"/>
    <col min="31" max="31" width="11.42578125" style="13"/>
    <col min="32" max="32" width="15.7109375" style="13" bestFit="1" customWidth="1"/>
    <col min="33" max="33" width="17.140625" style="13" customWidth="1"/>
    <col min="34" max="34" width="17.5703125" style="13" customWidth="1"/>
    <col min="35" max="16384" width="11.42578125" style="13"/>
  </cols>
  <sheetData>
    <row r="1" spans="1:113" ht="18.75" x14ac:dyDescent="0.3">
      <c r="A1" s="31" t="s">
        <v>291</v>
      </c>
      <c r="E1" s="31"/>
    </row>
    <row r="2" spans="1:113" ht="18.75" x14ac:dyDescent="0.3">
      <c r="A2" s="31"/>
      <c r="E2" s="31"/>
    </row>
    <row r="3" spans="1:113" ht="18.75" x14ac:dyDescent="0.3">
      <c r="A3" s="31" t="s">
        <v>292</v>
      </c>
      <c r="E3" s="31"/>
    </row>
    <row r="4" spans="1:113" ht="14.45" customHeight="1" x14ac:dyDescent="0.25">
      <c r="A4" s="16" t="s">
        <v>25</v>
      </c>
      <c r="B4" s="168" t="s">
        <v>68</v>
      </c>
      <c r="C4" s="169"/>
      <c r="D4" s="169"/>
      <c r="E4" s="169"/>
      <c r="F4" s="170"/>
      <c r="G4" s="126"/>
      <c r="H4" s="165" t="s">
        <v>116</v>
      </c>
      <c r="I4" s="166"/>
      <c r="J4" s="166"/>
      <c r="K4" s="166"/>
      <c r="L4" s="166"/>
      <c r="M4" s="166"/>
      <c r="N4" s="166"/>
      <c r="O4" s="166"/>
      <c r="P4" s="166"/>
      <c r="Q4" s="166"/>
      <c r="R4" s="166"/>
      <c r="S4" s="166"/>
      <c r="T4" s="166"/>
      <c r="U4" s="166"/>
      <c r="V4" s="179" t="s">
        <v>39</v>
      </c>
      <c r="W4" s="179"/>
      <c r="X4" s="179"/>
      <c r="Y4" s="179"/>
      <c r="Z4" s="179"/>
      <c r="AA4" s="186" t="s">
        <v>79</v>
      </c>
      <c r="AB4" s="186"/>
      <c r="AC4" s="187"/>
      <c r="AD4" s="174" t="s">
        <v>40</v>
      </c>
      <c r="AE4" s="175"/>
      <c r="AF4" s="175"/>
      <c r="AG4" s="175"/>
      <c r="AH4" s="175"/>
    </row>
    <row r="5" spans="1:113" s="37" customFormat="1" ht="35.25" customHeight="1" x14ac:dyDescent="0.25">
      <c r="A5" s="36"/>
      <c r="B5" s="171"/>
      <c r="C5" s="172"/>
      <c r="D5" s="172"/>
      <c r="E5" s="172"/>
      <c r="F5" s="173"/>
      <c r="G5" s="127"/>
      <c r="H5" s="162" t="s">
        <v>94</v>
      </c>
      <c r="I5" s="163"/>
      <c r="J5" s="163"/>
      <c r="K5" s="163"/>
      <c r="L5" s="190" t="s">
        <v>107</v>
      </c>
      <c r="M5" s="191"/>
      <c r="N5" s="192"/>
      <c r="O5" s="190" t="s">
        <v>99</v>
      </c>
      <c r="P5" s="191"/>
      <c r="Q5" s="191"/>
      <c r="R5" s="191"/>
      <c r="S5" s="191"/>
      <c r="T5" s="191"/>
      <c r="U5" s="191"/>
      <c r="V5" s="181"/>
      <c r="W5" s="181"/>
      <c r="X5" s="181"/>
      <c r="Y5" s="181"/>
      <c r="Z5" s="181"/>
      <c r="AA5" s="188"/>
      <c r="AB5" s="188"/>
      <c r="AC5" s="189"/>
      <c r="AD5" s="176"/>
      <c r="AE5" s="177"/>
      <c r="AF5" s="177"/>
      <c r="AG5" s="177"/>
      <c r="AH5" s="177"/>
    </row>
    <row r="6" spans="1:113" s="9" customFormat="1" ht="68.25" thickBot="1" x14ac:dyDescent="0.25">
      <c r="A6" s="17" t="s">
        <v>43</v>
      </c>
      <c r="B6" s="18" t="s">
        <v>31</v>
      </c>
      <c r="C6" s="18" t="s">
        <v>59</v>
      </c>
      <c r="D6" s="18" t="s">
        <v>31</v>
      </c>
      <c r="E6" s="18" t="s">
        <v>31</v>
      </c>
      <c r="F6" s="18" t="s">
        <v>31</v>
      </c>
      <c r="G6" s="18" t="s">
        <v>250</v>
      </c>
      <c r="H6" s="34" t="s">
        <v>95</v>
      </c>
      <c r="I6" s="34" t="s">
        <v>95</v>
      </c>
      <c r="J6" s="34" t="s">
        <v>95</v>
      </c>
      <c r="K6" s="34" t="s">
        <v>95</v>
      </c>
      <c r="L6" s="34" t="s">
        <v>102</v>
      </c>
      <c r="M6" s="34" t="s">
        <v>102</v>
      </c>
      <c r="N6" s="34" t="s">
        <v>237</v>
      </c>
      <c r="O6" s="34" t="s">
        <v>238</v>
      </c>
      <c r="P6" s="34" t="s">
        <v>100</v>
      </c>
      <c r="Q6" s="34" t="s">
        <v>100</v>
      </c>
      <c r="R6" s="34" t="s">
        <v>215</v>
      </c>
      <c r="S6" s="34" t="s">
        <v>138</v>
      </c>
      <c r="T6" s="34" t="s">
        <v>122</v>
      </c>
      <c r="U6" s="34" t="s">
        <v>122</v>
      </c>
      <c r="V6" s="19" t="s">
        <v>216</v>
      </c>
      <c r="W6" s="19" t="s">
        <v>130</v>
      </c>
      <c r="X6" s="19" t="s">
        <v>31</v>
      </c>
      <c r="Y6" s="19" t="s">
        <v>49</v>
      </c>
      <c r="Z6" s="19" t="s">
        <v>48</v>
      </c>
      <c r="AA6" s="29" t="s">
        <v>233</v>
      </c>
      <c r="AB6" s="29" t="s">
        <v>233</v>
      </c>
      <c r="AC6" s="29" t="s">
        <v>233</v>
      </c>
      <c r="AD6" s="26" t="s">
        <v>19</v>
      </c>
      <c r="AE6" s="26" t="s">
        <v>4</v>
      </c>
      <c r="AF6" s="26" t="s">
        <v>4</v>
      </c>
      <c r="AG6" s="26" t="s">
        <v>234</v>
      </c>
      <c r="AH6" s="26" t="s">
        <v>232</v>
      </c>
    </row>
    <row r="7" spans="1:113" s="12" customFormat="1" ht="63.75" x14ac:dyDescent="0.25">
      <c r="A7" s="10" t="s">
        <v>0</v>
      </c>
      <c r="B7" s="11" t="s">
        <v>50</v>
      </c>
      <c r="C7" s="11" t="s">
        <v>11</v>
      </c>
      <c r="D7" s="11" t="s">
        <v>133</v>
      </c>
      <c r="E7" s="11" t="s">
        <v>60</v>
      </c>
      <c r="F7" s="11" t="s">
        <v>61</v>
      </c>
      <c r="G7" s="11" t="s">
        <v>251</v>
      </c>
      <c r="H7" s="11" t="s">
        <v>96</v>
      </c>
      <c r="I7" s="11" t="s">
        <v>97</v>
      </c>
      <c r="J7" s="11" t="s">
        <v>98</v>
      </c>
      <c r="K7" s="11" t="s">
        <v>101</v>
      </c>
      <c r="L7" s="11" t="s">
        <v>299</v>
      </c>
      <c r="M7" s="11" t="s">
        <v>314</v>
      </c>
      <c r="N7" s="109" t="s">
        <v>236</v>
      </c>
      <c r="O7" s="135" t="s">
        <v>239</v>
      </c>
      <c r="P7" s="11" t="s">
        <v>104</v>
      </c>
      <c r="Q7" s="11" t="s">
        <v>212</v>
      </c>
      <c r="R7" s="11" t="s">
        <v>214</v>
      </c>
      <c r="S7" s="11" t="s">
        <v>126</v>
      </c>
      <c r="T7" s="11" t="s">
        <v>125</v>
      </c>
      <c r="U7" s="11" t="s">
        <v>137</v>
      </c>
      <c r="V7" s="11" t="s">
        <v>136</v>
      </c>
      <c r="W7" s="11" t="s">
        <v>217</v>
      </c>
      <c r="X7" s="11" t="s">
        <v>88</v>
      </c>
      <c r="Y7" s="11" t="s">
        <v>14</v>
      </c>
      <c r="Z7" s="11" t="s">
        <v>15</v>
      </c>
      <c r="AA7" s="11" t="s">
        <v>45</v>
      </c>
      <c r="AB7" s="11" t="s">
        <v>82</v>
      </c>
      <c r="AC7" s="11" t="s">
        <v>83</v>
      </c>
      <c r="AD7" s="11" t="s">
        <v>26</v>
      </c>
      <c r="AE7" s="11" t="s">
        <v>16</v>
      </c>
      <c r="AF7" s="11" t="s">
        <v>17</v>
      </c>
      <c r="AG7" s="11" t="s">
        <v>227</v>
      </c>
      <c r="AH7" s="11" t="s">
        <v>141</v>
      </c>
      <c r="AT7" s="134" t="s">
        <v>315</v>
      </c>
    </row>
    <row r="8" spans="1:113" s="12" customFormat="1" x14ac:dyDescent="0.25">
      <c r="A8" s="10" t="s">
        <v>9</v>
      </c>
      <c r="B8" s="11" t="s">
        <v>51</v>
      </c>
      <c r="C8" s="11" t="s">
        <v>10</v>
      </c>
      <c r="D8" s="11" t="s">
        <v>134</v>
      </c>
      <c r="E8" s="11" t="s">
        <v>33</v>
      </c>
      <c r="F8" s="11" t="s">
        <v>30</v>
      </c>
      <c r="G8" s="11" t="s">
        <v>129</v>
      </c>
      <c r="H8" s="11" t="s">
        <v>84</v>
      </c>
      <c r="I8" s="11" t="s">
        <v>85</v>
      </c>
      <c r="J8" s="11" t="s">
        <v>86</v>
      </c>
      <c r="K8" s="11" t="s">
        <v>106</v>
      </c>
      <c r="L8" s="11" t="s">
        <v>89</v>
      </c>
      <c r="M8" s="11" t="s">
        <v>90</v>
      </c>
      <c r="N8" s="11" t="s">
        <v>235</v>
      </c>
      <c r="O8" s="136" t="s">
        <v>121</v>
      </c>
      <c r="P8" s="11" t="s">
        <v>105</v>
      </c>
      <c r="Q8" s="11" t="s">
        <v>213</v>
      </c>
      <c r="R8" s="11" t="s">
        <v>115</v>
      </c>
      <c r="S8" s="11" t="s">
        <v>127</v>
      </c>
      <c r="T8" s="11" t="s">
        <v>87</v>
      </c>
      <c r="U8" s="11" t="s">
        <v>119</v>
      </c>
      <c r="V8" s="11" t="s">
        <v>128</v>
      </c>
      <c r="W8" s="11" t="s">
        <v>62</v>
      </c>
      <c r="X8" s="11" t="s">
        <v>24</v>
      </c>
      <c r="Y8" s="11" t="s">
        <v>135</v>
      </c>
      <c r="Z8" s="11" t="s">
        <v>23</v>
      </c>
      <c r="AA8" s="11" t="s">
        <v>44</v>
      </c>
      <c r="AB8" s="11" t="s">
        <v>47</v>
      </c>
      <c r="AC8" s="11" t="s">
        <v>13</v>
      </c>
      <c r="AD8" s="11" t="s">
        <v>18</v>
      </c>
      <c r="AE8" s="11" t="s">
        <v>20</v>
      </c>
      <c r="AF8" s="11" t="s">
        <v>21</v>
      </c>
      <c r="AG8" s="11" t="s">
        <v>228</v>
      </c>
      <c r="AH8" s="11" t="s">
        <v>142</v>
      </c>
      <c r="AT8" s="133" t="s">
        <v>316</v>
      </c>
    </row>
    <row r="9" spans="1:113" x14ac:dyDescent="0.25">
      <c r="A9" s="22">
        <v>2010</v>
      </c>
      <c r="B9" s="28">
        <f>Parameters!$C$3</f>
        <v>2.3E-2</v>
      </c>
      <c r="C9" s="28">
        <f>Parameters!$C$5</f>
        <v>46.486621</v>
      </c>
      <c r="D9" s="70">
        <f>Parameters!$C$19</f>
        <v>0.1</v>
      </c>
      <c r="E9" s="21">
        <f>Parameters!$C$7</f>
        <v>7.9000000000000001E-2</v>
      </c>
      <c r="F9" s="24">
        <f>Parameters!$C$6</f>
        <v>3.8</v>
      </c>
      <c r="G9" s="116">
        <f>11614/10</f>
        <v>1161.4000000000001</v>
      </c>
      <c r="H9" s="14">
        <f>Parameters!L54</f>
        <v>5559.3172086930372</v>
      </c>
      <c r="I9" s="14">
        <f>Parameters!M54</f>
        <v>30473.280877728444</v>
      </c>
      <c r="J9" s="14">
        <f>Parameters!N54</f>
        <v>47720.347945502341</v>
      </c>
      <c r="K9" s="14">
        <f>Parameters!O54</f>
        <v>166313.54618313035</v>
      </c>
      <c r="L9" s="35">
        <v>55</v>
      </c>
      <c r="M9" s="35">
        <f>AVERAGE(55, 75)</f>
        <v>65</v>
      </c>
      <c r="N9" s="137">
        <f>Parameters!P54</f>
        <v>36032598.086421482</v>
      </c>
      <c r="O9" s="139">
        <f>(((L9*Parameters!L54)+(M9*Parameters!M54))*Parameters!$C$24)/1000000</f>
        <v>2.1541358652960523</v>
      </c>
      <c r="P9" s="138">
        <f>(H9+I9)/Parameters!B39</f>
        <v>0.12078505660505993</v>
      </c>
      <c r="Q9" s="39">
        <f>Parameters!O54/Parameters!B54</f>
        <v>0.55750049002122004</v>
      </c>
      <c r="R9" s="113">
        <f>(IF(P9-BAU!N7 &lt; 0, 0, P9-BAU!N7))+(IF(BAU!O7-Q9 &lt; 0,  0, BAU!O7-Q9))</f>
        <v>8.4784719799987918E-5</v>
      </c>
      <c r="S9" s="39">
        <f>R9</f>
        <v>8.4784719799987918E-5</v>
      </c>
      <c r="T9" s="32">
        <f>Parameters!$C$30</f>
        <v>0.06</v>
      </c>
      <c r="U9" s="75">
        <f>T9*(S9^Parameters!$C$31)</f>
        <v>2.3847370562931092E-13</v>
      </c>
      <c r="V9" s="21">
        <f>Q9</f>
        <v>0.55750049002122004</v>
      </c>
      <c r="W9" s="21">
        <f t="shared" ref="W9:W17" si="0">(1-S9)*V9*G9</f>
        <v>647.4261726096247</v>
      </c>
      <c r="X9" s="20">
        <f>Parameters!$C$11</f>
        <v>530</v>
      </c>
      <c r="Y9" s="23">
        <f>X9*Parameters!$C$13</f>
        <v>0.95399999999999996</v>
      </c>
      <c r="Z9" s="32">
        <f>1/(1+((Y9/20.46)^2)+((Y9/6081)^6754))</f>
        <v>0.99783058667694802</v>
      </c>
      <c r="AA9" s="28">
        <f>((Parameters!$C$18*F9*Z9)/(D9+B9))^(1/(1-Parameters!$C$21))</f>
        <v>8.8483217392581075</v>
      </c>
      <c r="AB9" s="24">
        <f>(1-U9)*Z9*F9*(AA9^Parameters!$C$21)</f>
        <v>9.0695297827373995</v>
      </c>
      <c r="AC9" s="23">
        <f>(1-Parameters!$C$18)*AB9</f>
        <v>7.9811862088089116</v>
      </c>
      <c r="AD9" s="30">
        <f>LN(AC9)</f>
        <v>2.0770870481351547</v>
      </c>
      <c r="AE9" s="23">
        <f>1/(1+Parameters!$C$22*(A9-$A$9))</f>
        <v>1</v>
      </c>
      <c r="AF9" s="30">
        <f t="shared" ref="AF9:AF17" si="1">C9*AD9*AE9</f>
        <v>96.556758390667696</v>
      </c>
      <c r="AG9" s="30">
        <f>BAU!AF7</f>
        <v>9.1024174870568153</v>
      </c>
      <c r="AH9" s="30">
        <f t="shared" ref="AH9:AH17" si="2">(AB9-AG9)*C9</f>
        <v>-1.5288382462567447</v>
      </c>
      <c r="AI9" s="4"/>
      <c r="AJ9" s="4"/>
      <c r="AK9" s="4"/>
      <c r="AL9" s="1"/>
      <c r="AM9" s="1"/>
      <c r="AN9" s="1"/>
      <c r="AO9" s="1"/>
      <c r="AP9" s="1"/>
      <c r="AQ9" s="1"/>
      <c r="AR9" s="1"/>
      <c r="AS9" s="1"/>
      <c r="AT9" s="133" t="s">
        <v>317</v>
      </c>
      <c r="AU9" s="1"/>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row>
    <row r="10" spans="1:113" x14ac:dyDescent="0.25">
      <c r="A10" s="22">
        <v>2015</v>
      </c>
      <c r="B10" s="27">
        <f>B9/(1+Parameters!$C$4)</f>
        <v>2.1863117870722433E-2</v>
      </c>
      <c r="C10" s="28">
        <f>C9*(1+B10)</f>
        <v>47.502963474334599</v>
      </c>
      <c r="D10" s="70">
        <f>Parameters!$C$19+(Parameters!$C$20*R10)</f>
        <v>0.10001390376979419</v>
      </c>
      <c r="E10" s="25">
        <f>($E$9/((1+Parameters!$C$8)^(A10-$A$9)))-Parameters!$C$9*Y10</f>
        <v>7.541800853720422E-2</v>
      </c>
      <c r="F10" s="24">
        <f>F9*(1+E10)</f>
        <v>4.0865884324413759</v>
      </c>
      <c r="G10" s="116">
        <v>1221.3</v>
      </c>
      <c r="H10" s="14">
        <f>Parameters!L55</f>
        <v>8406.2977035764925</v>
      </c>
      <c r="I10" s="14">
        <f>Parameters!M55</f>
        <v>43620.965196725607</v>
      </c>
      <c r="J10" s="14">
        <f>Parameters!N55</f>
        <v>37889.206829909628</v>
      </c>
      <c r="K10" s="14">
        <f>Parameters!O55</f>
        <v>141517.96380639906</v>
      </c>
      <c r="L10" s="35">
        <v>55</v>
      </c>
      <c r="M10" s="35">
        <f t="shared" ref="M10:M11" si="3">AVERAGE(55, 75)</f>
        <v>65</v>
      </c>
      <c r="N10" s="137">
        <f>Parameters!P55</f>
        <v>52027262.900302097</v>
      </c>
      <c r="O10" s="139">
        <f>(((L10*Parameters!L55)+(M10*Parameters!M55))*Parameters!$C$24)/1000000</f>
        <v>3.1067717539289554</v>
      </c>
      <c r="P10" s="138">
        <f>(H10+I10)/Parameters!B40</f>
        <v>0.1865892773006082</v>
      </c>
      <c r="Q10" s="39">
        <f>Parameters!O55/Parameters!B55</f>
        <v>0.50753649374732535</v>
      </c>
      <c r="R10" s="113">
        <f>(IF(P10-BAU!N8 &lt; 0, 0, P10-BAU!N8))+(IF(BAU!O8-Q10 &lt; 0,  0, BAU!O8-Q10))</f>
        <v>1.3903769794187754E-2</v>
      </c>
      <c r="S10" s="39">
        <f t="shared" ref="S10:S17" si="4">R10</f>
        <v>1.3903769794187754E-2</v>
      </c>
      <c r="T10" s="32">
        <f t="shared" ref="T10:T16" si="5">T9*(1+(-E10))</f>
        <v>5.547491948776774E-2</v>
      </c>
      <c r="U10" s="75">
        <f>T10*(S10^Parameters!$C$31)</f>
        <v>3.5064517920997509E-7</v>
      </c>
      <c r="V10" s="21">
        <f t="shared" ref="V10:V16" si="6">Q10</f>
        <v>0.50753649374732535</v>
      </c>
      <c r="W10" s="21">
        <f t="shared" si="0"/>
        <v>611.2360080449871</v>
      </c>
      <c r="X10" s="20">
        <f>X9+(W10/Parameters!$C$12)</f>
        <v>696.70072946681466</v>
      </c>
      <c r="Y10" s="23">
        <f>X10*Parameters!$C$13</f>
        <v>1.2540613130402665</v>
      </c>
      <c r="Z10" s="32">
        <f t="shared" ref="Z10:Z17" si="7">1/(1+((Y10/20.46)^2)+((Y10/6081)^6754))</f>
        <v>0.99625719026155024</v>
      </c>
      <c r="AA10" s="28">
        <f>((Parameters!$C$18*F10*Z10)/(D10+B10))^(1/(1-Parameters!$C$21))</f>
        <v>10.115475579960291</v>
      </c>
      <c r="AB10" s="24">
        <f>(1-U10)*Z10*F10*(AA10^Parameters!$C$21)</f>
        <v>10.27369669893433</v>
      </c>
      <c r="AC10" s="23">
        <f>(1-Parameters!$C$18)*AB10</f>
        <v>9.0408530950622108</v>
      </c>
      <c r="AD10" s="30">
        <f t="shared" ref="AD10:AD17" si="8">LN(AC10)</f>
        <v>2.2017535388744296</v>
      </c>
      <c r="AE10" s="23">
        <f>1/(1+Parameters!$C$22*(A10-$A$9))</f>
        <v>0.93023255813953487</v>
      </c>
      <c r="AF10" s="30">
        <f t="shared" si="1"/>
        <v>97.292853894547889</v>
      </c>
      <c r="AG10" s="30">
        <f>BAU!AF8</f>
        <v>10.358997143018955</v>
      </c>
      <c r="AH10" s="30">
        <f t="shared" si="2"/>
        <v>-4.0520238796964732</v>
      </c>
      <c r="AI10" s="4"/>
      <c r="AJ10" s="4"/>
      <c r="AK10" s="4"/>
      <c r="AL10" s="1"/>
      <c r="AM10" s="1"/>
      <c r="AN10" s="1"/>
      <c r="AO10" s="1"/>
      <c r="AP10" s="1"/>
      <c r="AQ10" s="1"/>
      <c r="AR10" s="1"/>
      <c r="AS10" s="1"/>
      <c r="AT10" s="133" t="s">
        <v>318</v>
      </c>
      <c r="AU10" s="1"/>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row>
    <row r="11" spans="1:113" x14ac:dyDescent="0.25">
      <c r="A11" s="22">
        <v>2020</v>
      </c>
      <c r="B11" s="27">
        <f>B10/(1+Parameters!$C$4)</f>
        <v>2.0782431436047938E-2</v>
      </c>
      <c r="C11" s="28">
        <f t="shared" ref="C11:C17" si="9">C10*(1+B11)</f>
        <v>48.490190555749045</v>
      </c>
      <c r="D11" s="70">
        <f>Parameters!$C$19+(Parameters!$C$20*R11)</f>
        <v>0.10004202165269881</v>
      </c>
      <c r="E11" s="25">
        <f>($E$9/((1+Parameters!$C$8)^(A11-$A$9)))-Parameters!$C$9*Y11</f>
        <v>7.292269623756871E-2</v>
      </c>
      <c r="F11" s="24">
        <f>F10*(1+E11)</f>
        <v>4.3845934793482604</v>
      </c>
      <c r="G11" s="116">
        <v>1227.2</v>
      </c>
      <c r="H11" s="14">
        <f>Parameters!L56</f>
        <v>13748.398137477629</v>
      </c>
      <c r="I11" s="14">
        <f>Parameters!M56</f>
        <v>59277.541479991487</v>
      </c>
      <c r="J11" s="14">
        <f>Parameters!N56</f>
        <v>29881.531838158284</v>
      </c>
      <c r="K11" s="14">
        <f>Parameters!O56</f>
        <v>100767.29344666607</v>
      </c>
      <c r="L11" s="14">
        <v>55</v>
      </c>
      <c r="M11" s="14">
        <f t="shared" si="3"/>
        <v>65</v>
      </c>
      <c r="N11" s="137">
        <f>Parameters!P56</f>
        <v>73025939.617469117</v>
      </c>
      <c r="O11" s="139">
        <f>(((L11*Parameters!L56)+(M11*Parameters!M56))*Parameters!$C$24)/1000000</f>
        <v>4.3423292925319705</v>
      </c>
      <c r="P11" s="138">
        <f>(H11+I11)/Parameters!B41</f>
        <v>0.29632023482072567</v>
      </c>
      <c r="Q11" s="39">
        <f>Parameters!O56/Parameters!B56</f>
        <v>0.40888742017942015</v>
      </c>
      <c r="R11" s="113">
        <f>(IF(P11-BAU!N9 &lt; 0, 0, P11-BAU!N9))+(IF(BAU!O9-Q11 &lt; 0,  0, BAU!O9-Q11))</f>
        <v>4.2021652698800704E-2</v>
      </c>
      <c r="S11" s="39">
        <f t="shared" si="4"/>
        <v>4.2021652698800704E-2</v>
      </c>
      <c r="T11" s="32">
        <f t="shared" si="5"/>
        <v>5.1429538785157672E-2</v>
      </c>
      <c r="U11" s="75">
        <f>T11*(S11^Parameters!$C$31)</f>
        <v>7.1934526794887971E-6</v>
      </c>
      <c r="V11" s="21">
        <f t="shared" si="6"/>
        <v>0.40888742017942015</v>
      </c>
      <c r="W11" s="21">
        <f t="shared" si="0"/>
        <v>480.70073804330633</v>
      </c>
      <c r="X11" s="20">
        <f>X10+(W11/Parameters!$C$12)</f>
        <v>827.80093075135278</v>
      </c>
      <c r="Y11" s="23">
        <f>X11*Parameters!$C$13</f>
        <v>1.490041675352435</v>
      </c>
      <c r="Z11" s="32">
        <f t="shared" si="7"/>
        <v>0.99472420081694668</v>
      </c>
      <c r="AA11" s="28">
        <f>((Parameters!$C$18*F11*Z11)/(D11+B11))^(1/(1-Parameters!$C$21))</f>
        <v>11.510584472736785</v>
      </c>
      <c r="AB11" s="24">
        <f>(1-U11)*Z11*F11*(AA11^Parameters!$C$21)</f>
        <v>11.589583910695538</v>
      </c>
      <c r="AC11" s="23">
        <f>(1-Parameters!$C$18)*AB11</f>
        <v>10.198833841412073</v>
      </c>
      <c r="AD11" s="30">
        <f t="shared" si="8"/>
        <v>2.3222733844808094</v>
      </c>
      <c r="AE11" s="23">
        <f>1/(1+Parameters!$C$22*(A11-$A$9))</f>
        <v>0.86956521739130443</v>
      </c>
      <c r="AF11" s="30">
        <f t="shared" si="1"/>
        <v>97.919546900885862</v>
      </c>
      <c r="AG11" s="30">
        <f>BAU!AF9</f>
        <v>11.74488149448006</v>
      </c>
      <c r="AH11" s="30">
        <f t="shared" si="2"/>
        <v>-7.530409430558878</v>
      </c>
      <c r="AI11" s="4"/>
      <c r="AJ11" s="4"/>
      <c r="AK11" s="4"/>
      <c r="AL11" s="1"/>
      <c r="AM11" s="1"/>
      <c r="AN11" s="1"/>
      <c r="AO11" s="1"/>
      <c r="AP11" s="1"/>
      <c r="AQ11" s="1"/>
      <c r="AR11" s="1"/>
      <c r="AS11" s="1"/>
      <c r="AT11" s="133" t="s">
        <v>319</v>
      </c>
      <c r="AU11" s="1"/>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row>
    <row r="12" spans="1:113" ht="21.6" customHeight="1" x14ac:dyDescent="0.25">
      <c r="A12" s="22">
        <v>2025</v>
      </c>
      <c r="B12" s="27">
        <f>B11/(1+Parameters!$C$4)</f>
        <v>1.9755162962022753E-2</v>
      </c>
      <c r="C12" s="28">
        <f t="shared" si="9"/>
        <v>49.448122172237404</v>
      </c>
      <c r="D12" s="70">
        <f>Parameters!$C$19+(Parameters!$C$20*R12)</f>
        <v>0.1000977791334061</v>
      </c>
      <c r="E12" s="25">
        <f>($E$9/((1+Parameters!$C$8)^(A12-$A$9)))-Parameters!$C$9*Y12</f>
        <v>7.0505916920800202E-2</v>
      </c>
      <c r="F12" s="24">
        <f>F11*(1+E12)</f>
        <v>4.6937332629346713</v>
      </c>
      <c r="G12" s="116">
        <v>1401.8</v>
      </c>
      <c r="H12" s="14">
        <f>Parameters!L57</f>
        <v>23575.277537099944</v>
      </c>
      <c r="I12" s="14">
        <f>Parameters!M57</f>
        <v>79031.280607138498</v>
      </c>
      <c r="J12" s="14">
        <f>Parameters!N57</f>
        <v>27272.361473606685</v>
      </c>
      <c r="K12" s="14">
        <f>Parameters!O57</f>
        <v>100966.50990071571</v>
      </c>
      <c r="L12" s="35">
        <v>35</v>
      </c>
      <c r="M12" s="35">
        <f>AVERAGE(45, 50)</f>
        <v>47.5</v>
      </c>
      <c r="N12" s="137">
        <f>Parameters!P57</f>
        <v>102606558.14423844</v>
      </c>
      <c r="O12" s="139">
        <f>(((L12*Parameters!L57)+(M12*Parameters!M57))*Parameters!$C$24)/1000000</f>
        <v>4.3139894632188609</v>
      </c>
      <c r="P12" s="138">
        <f>(H12+I12)/Parameters!B42</f>
        <v>0.3666845964696584</v>
      </c>
      <c r="Q12" s="39">
        <f>Parameters!O57/Parameters!B57</f>
        <v>0.36082356342027461</v>
      </c>
      <c r="R12" s="113">
        <f>(IF(P12-BAU!N10 &lt; 0, 0, P12-BAU!N10))+(IF(BAU!O10-Q12 &lt; 0,  0, BAU!O10-Q12))</f>
        <v>9.7779133406092844E-2</v>
      </c>
      <c r="S12" s="39">
        <f t="shared" si="4"/>
        <v>9.7779133406092844E-2</v>
      </c>
      <c r="T12" s="32">
        <f t="shared" si="5"/>
        <v>4.7803451996296271E-2</v>
      </c>
      <c r="U12" s="75">
        <f>T12*(S12^Parameters!$C$31)</f>
        <v>7.1145686452763715E-5</v>
      </c>
      <c r="V12" s="21">
        <f t="shared" si="6"/>
        <v>0.36082356342027461</v>
      </c>
      <c r="W12" s="21">
        <f t="shared" si="0"/>
        <v>456.34554389369623</v>
      </c>
      <c r="X12" s="20">
        <f>X11+(W12/Parameters!$C$12)</f>
        <v>952.25880635872454</v>
      </c>
      <c r="Y12" s="23">
        <f>X12*Parameters!$C$13</f>
        <v>1.7140658514457041</v>
      </c>
      <c r="Z12" s="32">
        <f t="shared" si="7"/>
        <v>0.99303042490954285</v>
      </c>
      <c r="AA12" s="28">
        <f>((Parameters!$C$18*F12*Z12)/(D12+B12))^(1/(1-Parameters!$C$21))</f>
        <v>13.032343309959112</v>
      </c>
      <c r="AB12" s="24">
        <f>(1-U12)*Z12*F12*(AA12^Parameters!$C$21)</f>
        <v>13.015446342052746</v>
      </c>
      <c r="AC12" s="23">
        <f>(1-Parameters!$C$18)*AB12</f>
        <v>11.453592781006417</v>
      </c>
      <c r="AD12" s="30">
        <f t="shared" si="8"/>
        <v>2.4383034607821603</v>
      </c>
      <c r="AE12" s="23">
        <f>1/(1+Parameters!$C$22*(A12-$A$9))</f>
        <v>0.81632653061224481</v>
      </c>
      <c r="AF12" s="30">
        <f t="shared" si="1"/>
        <v>98.424104017751446</v>
      </c>
      <c r="AG12" s="30">
        <f>BAU!AF10</f>
        <v>13.267674708883096</v>
      </c>
      <c r="AH12" s="30">
        <f t="shared" si="2"/>
        <v>-12.472219098331047</v>
      </c>
      <c r="AI12" s="4"/>
      <c r="AJ12" s="4"/>
      <c r="AK12" s="4"/>
      <c r="AL12" s="1"/>
      <c r="AM12" s="1"/>
      <c r="AN12" s="1"/>
      <c r="AO12" s="1"/>
      <c r="AP12" s="1"/>
      <c r="AQ12" s="1"/>
      <c r="AR12" s="1"/>
      <c r="AS12" s="1"/>
      <c r="AT12" s="133" t="s">
        <v>320</v>
      </c>
      <c r="AU12" s="1"/>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row>
    <row r="13" spans="1:113" x14ac:dyDescent="0.25">
      <c r="A13" s="22">
        <v>2030</v>
      </c>
      <c r="B13" s="27">
        <f>B12/(1+Parameters!$C$4)</f>
        <v>1.8778672017131893E-2</v>
      </c>
      <c r="C13" s="28">
        <f>C12*(1+B13)</f>
        <v>50.376692240372918</v>
      </c>
      <c r="D13" s="70">
        <f>Parameters!$C$19+(Parameters!$C$20*R13)</f>
        <v>0.10022641139347668</v>
      </c>
      <c r="E13" s="25">
        <f>($E$9/((1+Parameters!$C$8)^(A13-$A$9)))-Parameters!$C$9*Y13</f>
        <v>6.8223104493647102E-2</v>
      </c>
      <c r="F13" s="24">
        <f t="shared" ref="F13:F16" si="10">F12*(1+E13)</f>
        <v>5.0139543177971708</v>
      </c>
      <c r="G13" s="116">
        <v>1481.4</v>
      </c>
      <c r="H13" s="14">
        <f>Parameters!L58</f>
        <v>43722.485301554501</v>
      </c>
      <c r="I13" s="14">
        <f>Parameters!M58</f>
        <v>105193.26992963694</v>
      </c>
      <c r="J13" s="14">
        <f>Parameters!N58</f>
        <v>20043.307146330913</v>
      </c>
      <c r="K13" s="14">
        <f>Parameters!O58</f>
        <v>81509.837198496054</v>
      </c>
      <c r="L13" s="14">
        <v>35</v>
      </c>
      <c r="M13" s="14">
        <f>AVERAGE(45, 50)</f>
        <v>47.5</v>
      </c>
      <c r="N13" s="137">
        <f>Parameters!P58</f>
        <v>148915755.23119143</v>
      </c>
      <c r="O13" s="139">
        <f>(((L13*Parameters!L58)+(M13*Parameters!M58))*Parameters!$C$24)/1000000</f>
        <v>6.1490559001245781</v>
      </c>
      <c r="P13" s="138">
        <f>(H13+I13)/Parameters!B43</f>
        <v>0.5022957451484964</v>
      </c>
      <c r="Q13" s="39">
        <f>Parameters!O58/Parameters!B58</f>
        <v>0.27493426970832441</v>
      </c>
      <c r="R13" s="113">
        <f>(IF(P13-BAU!N11 &lt; 0, 0, P13-BAU!N11))+(IF(BAU!O11-Q13 &lt; 0,  0, BAU!O11-Q13))</f>
        <v>0.2264113934766811</v>
      </c>
      <c r="S13" s="39">
        <f t="shared" si="4"/>
        <v>0.2264113934766811</v>
      </c>
      <c r="T13" s="32">
        <f t="shared" si="5"/>
        <v>4.4542152095595908E-2</v>
      </c>
      <c r="U13" s="75">
        <f>T13*(S13^Parameters!$C$31)</f>
        <v>6.9580312341208572E-4</v>
      </c>
      <c r="V13" s="21">
        <f t="shared" si="6"/>
        <v>0.27493426970832441</v>
      </c>
      <c r="W13" s="21">
        <f t="shared" si="0"/>
        <v>315.07306793799495</v>
      </c>
      <c r="X13" s="20">
        <f>X12+(W13/Parameters!$C$12)</f>
        <v>1038.1878248872686</v>
      </c>
      <c r="Y13" s="23">
        <f>X13*Parameters!$C$13</f>
        <v>1.8687380847970834</v>
      </c>
      <c r="Z13" s="32">
        <f t="shared" si="7"/>
        <v>0.99172672177259391</v>
      </c>
      <c r="AA13" s="28">
        <f>((Parameters!$C$18*F13*Z13)/(D13+B13))^(1/(1-Parameters!$C$21))</f>
        <v>14.688593151383383</v>
      </c>
      <c r="AB13" s="24">
        <f>(1-U13)*Z13*F13*(AA13^Parameters!$C$21)</f>
        <v>14.556674810836194</v>
      </c>
      <c r="AC13" s="23">
        <f>(1-Parameters!$C$18)*AB13</f>
        <v>12.809873833535852</v>
      </c>
      <c r="AD13" s="30">
        <f t="shared" si="8"/>
        <v>2.5502162667997075</v>
      </c>
      <c r="AE13" s="23">
        <f>1/(1+Parameters!$C$22*(A13-$A$9))</f>
        <v>0.76923076923076916</v>
      </c>
      <c r="AF13" s="30">
        <f t="shared" si="1"/>
        <v>98.824200014585841</v>
      </c>
      <c r="AG13" s="30">
        <f>BAU!AF11</f>
        <v>14.934834851616968</v>
      </c>
      <c r="AH13" s="30">
        <f t="shared" si="2"/>
        <v>-19.050451992019909</v>
      </c>
      <c r="AI13" s="4"/>
      <c r="AJ13" s="4"/>
      <c r="AK13" s="4"/>
      <c r="AL13" s="1"/>
      <c r="AM13" s="1"/>
      <c r="AN13" s="1"/>
      <c r="AO13" s="1"/>
      <c r="AP13" s="1"/>
      <c r="AQ13" s="1"/>
      <c r="AR13" s="1"/>
      <c r="AS13" s="1"/>
      <c r="AT13" s="133" t="s">
        <v>321</v>
      </c>
      <c r="AU13" s="1"/>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row>
    <row r="14" spans="1:113" x14ac:dyDescent="0.25">
      <c r="A14" s="22">
        <v>2035</v>
      </c>
      <c r="B14" s="27">
        <f>B13/(1+Parameters!$C$4)</f>
        <v>1.7850448685486589E-2</v>
      </c>
      <c r="C14" s="28">
        <f t="shared" si="9"/>
        <v>51.27593880015425</v>
      </c>
      <c r="D14" s="70">
        <f>Parameters!$C$19+(Parameters!$C$20*R14)</f>
        <v>0.10031737334112974</v>
      </c>
      <c r="E14" s="25">
        <f>($E$9/((1+Parameters!$C$8)^(A14-$A$9)))-Parameters!$C$9*Y14</f>
        <v>6.6041526531316549E-2</v>
      </c>
      <c r="F14" s="24">
        <f t="shared" si="10"/>
        <v>5.3450835149027816</v>
      </c>
      <c r="G14" s="116">
        <v>1574.3</v>
      </c>
      <c r="H14" s="14">
        <f>Parameters!L59</f>
        <v>56901.485786933714</v>
      </c>
      <c r="I14" s="14">
        <f>Parameters!M59</f>
        <v>118459.12846488837</v>
      </c>
      <c r="J14" s="14">
        <f>Parameters!N59</f>
        <v>15560.399481870791</v>
      </c>
      <c r="K14" s="14">
        <f>Parameters!O59</f>
        <v>67714.283811454661</v>
      </c>
      <c r="L14" s="35">
        <v>25</v>
      </c>
      <c r="M14" s="35">
        <f>AVERAGE(40, 25)</f>
        <v>32.5</v>
      </c>
      <c r="N14" s="137">
        <f>Parameters!P59</f>
        <v>175360614.25182208</v>
      </c>
      <c r="O14" s="139">
        <f>(((L14*Parameters!L59)+(M14*Parameters!M59))*Parameters!$C$24)/1000000</f>
        <v>4.9671834541168254</v>
      </c>
      <c r="P14" s="138">
        <f>(H14+I14)/Parameters!B44</f>
        <v>0.57015668210272508</v>
      </c>
      <c r="Q14" s="39">
        <f>Parameters!O59/Parameters!B59</f>
        <v>0.22016204467360953</v>
      </c>
      <c r="R14" s="113">
        <f>(IF(P14-BAU!N12 &lt; 0, 0, P14-BAU!N12))+(IF(BAU!O12-Q14 &lt; 0,  0, BAU!O12-Q14))</f>
        <v>0.31737334112972593</v>
      </c>
      <c r="S14" s="39">
        <f t="shared" si="4"/>
        <v>0.31737334112972593</v>
      </c>
      <c r="T14" s="32">
        <f t="shared" si="5"/>
        <v>4.1600520376212674E-2</v>
      </c>
      <c r="U14" s="75">
        <f>T14*(S14^Parameters!$C$31)</f>
        <v>1.6730002508499324E-3</v>
      </c>
      <c r="V14" s="21">
        <f t="shared" si="6"/>
        <v>0.22016204467360953</v>
      </c>
      <c r="W14" s="21">
        <f t="shared" si="0"/>
        <v>236.59915558413479</v>
      </c>
      <c r="X14" s="20">
        <f>X13+(W14/Parameters!$C$12)</f>
        <v>1102.7148673193053</v>
      </c>
      <c r="Y14" s="23">
        <f>X14*Parameters!$C$13</f>
        <v>1.9848867611747496</v>
      </c>
      <c r="Z14" s="32">
        <f t="shared" si="7"/>
        <v>0.99067622144065359</v>
      </c>
      <c r="AA14" s="28">
        <f>((Parameters!$C$18*F14*Z14)/(D14+B14))^(1/(1-Parameters!$C$21))</f>
        <v>16.504932360428032</v>
      </c>
      <c r="AB14" s="24">
        <f>(1-U14)*Z14*F14*(AA14^Parameters!$C$21)</f>
        <v>16.225741420784829</v>
      </c>
      <c r="AC14" s="23">
        <f>(1-Parameters!$C$18)*AB14</f>
        <v>14.278652450290648</v>
      </c>
      <c r="AD14" s="30">
        <f t="shared" si="8"/>
        <v>2.658765586232521</v>
      </c>
      <c r="AE14" s="23">
        <f>1/(1+Parameters!$C$22*(A14-$A$9))</f>
        <v>0.72727272727272729</v>
      </c>
      <c r="AF14" s="30">
        <f t="shared" si="1"/>
        <v>99.149601078992717</v>
      </c>
      <c r="AG14" s="30">
        <f>BAU!AF12</f>
        <v>16.753616251228273</v>
      </c>
      <c r="AH14" s="30">
        <f t="shared" si="2"/>
        <v>-27.067277499959857</v>
      </c>
      <c r="AI14" s="4"/>
      <c r="AJ14" s="4"/>
      <c r="AK14" s="4"/>
      <c r="AL14" s="1"/>
      <c r="AM14" s="1"/>
      <c r="AN14" s="1"/>
      <c r="AO14" s="1"/>
      <c r="AP14" s="1"/>
      <c r="AQ14" s="1"/>
      <c r="AR14" s="1"/>
      <c r="AS14" s="1"/>
      <c r="AT14" s="1"/>
      <c r="AU14" s="1"/>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row>
    <row r="15" spans="1:113" x14ac:dyDescent="0.25">
      <c r="A15" s="22">
        <v>2040</v>
      </c>
      <c r="B15" s="27">
        <f>B14/(1+Parameters!$C$4)</f>
        <v>1.6968107115481548E-2</v>
      </c>
      <c r="C15" s="28">
        <f t="shared" si="9"/>
        <v>52.14599442216214</v>
      </c>
      <c r="D15" s="70">
        <f>Parameters!$C$19+(Parameters!$C$20*R15)</f>
        <v>0.10039191543708471</v>
      </c>
      <c r="E15" s="25">
        <f>($E$9/((1+Parameters!$C$8)^(A15-$A$9)))-Parameters!$C$9*Y15</f>
        <v>6.3951433988196471E-2</v>
      </c>
      <c r="F15" s="24">
        <f t="shared" si="10"/>
        <v>5.6869092704674831</v>
      </c>
      <c r="G15" s="116">
        <v>1689.8</v>
      </c>
      <c r="H15" s="14">
        <f>Parameters!L60</f>
        <v>69860.585141586096</v>
      </c>
      <c r="I15" s="14">
        <f>Parameters!M60</f>
        <v>133139.70793283489</v>
      </c>
      <c r="J15" s="14">
        <f>Parameters!N60</f>
        <v>12726.081927138761</v>
      </c>
      <c r="K15" s="14">
        <f>Parameters!O60</f>
        <v>54193.518151949807</v>
      </c>
      <c r="L15" s="35">
        <v>25</v>
      </c>
      <c r="M15" s="35">
        <f t="shared" ref="M15:M17" si="11">AVERAGE(40, 25)</f>
        <v>32.5</v>
      </c>
      <c r="N15" s="137">
        <f>Parameters!P60</f>
        <v>203000293.07442099</v>
      </c>
      <c r="O15" s="139">
        <f>(((L15*Parameters!L60)+(M15*Parameters!M60))*Parameters!$C$24)/1000000</f>
        <v>5.7218962939617288</v>
      </c>
      <c r="P15" s="138">
        <f>(H15+I15)/Parameters!B45</f>
        <v>0.63510905619225155</v>
      </c>
      <c r="Q15" s="39">
        <f>Parameters!O60/Parameters!B60</f>
        <v>0.16955046539072915</v>
      </c>
      <c r="R15" s="113">
        <f>(IF(P15-BAU!N13 &lt; 0, 0, P15-BAU!N13))+(IF(BAU!O13-Q15 &lt; 0,  0, BAU!O13-Q15))</f>
        <v>0.39191543708470722</v>
      </c>
      <c r="S15" s="39">
        <f t="shared" si="4"/>
        <v>0.39191543708470722</v>
      </c>
      <c r="T15" s="32">
        <f t="shared" si="5"/>
        <v>3.8940107443498684E-2</v>
      </c>
      <c r="U15" s="75">
        <f>T15*(S15^Parameters!$C$31)</f>
        <v>2.8270649219960201E-3</v>
      </c>
      <c r="V15" s="21">
        <f t="shared" si="6"/>
        <v>0.16955046539072915</v>
      </c>
      <c r="W15" s="21">
        <f t="shared" si="0"/>
        <v>174.22010467613032</v>
      </c>
      <c r="X15" s="20">
        <f>X14+(W15/Parameters!$C$12)</f>
        <v>1150.2294413218863</v>
      </c>
      <c r="Y15" s="23">
        <f>X15*Parameters!$C$13</f>
        <v>2.0704129943793954</v>
      </c>
      <c r="Z15" s="32">
        <f t="shared" si="7"/>
        <v>0.98986373111480763</v>
      </c>
      <c r="AA15" s="28">
        <f>((Parameters!$C$18*F15*Z15)/(D15+B15))^(1/(1-Parameters!$C$21))</f>
        <v>18.48649688446519</v>
      </c>
      <c r="AB15" s="24">
        <f>(1-U15)*Z15*F15*(AA15^Parameters!$C$21)</f>
        <v>18.028684666219593</v>
      </c>
      <c r="AC15" s="23">
        <f>(1-Parameters!$C$18)*AB15</f>
        <v>15.865242506273242</v>
      </c>
      <c r="AD15" s="30">
        <f t="shared" si="8"/>
        <v>2.7641307105327848</v>
      </c>
      <c r="AE15" s="23">
        <f>1/(1+Parameters!$C$22*(A15-$A$9))</f>
        <v>0.68965517241379315</v>
      </c>
      <c r="AF15" s="30">
        <f t="shared" si="1"/>
        <v>99.405754905910129</v>
      </c>
      <c r="AG15" s="30">
        <f>BAU!AF13</f>
        <v>18.731012679021322</v>
      </c>
      <c r="AH15" s="30">
        <f t="shared" si="2"/>
        <v>-36.623592638087182</v>
      </c>
      <c r="AI15" s="4"/>
      <c r="AJ15" s="4"/>
      <c r="AK15" s="4"/>
      <c r="AL15" s="1"/>
      <c r="AM15" s="1"/>
      <c r="AN15" s="1"/>
      <c r="AO15" s="1"/>
      <c r="AP15" s="1"/>
      <c r="AQ15" s="1"/>
      <c r="AR15" s="1"/>
      <c r="AS15" s="1"/>
      <c r="AT15" s="1"/>
      <c r="AU15" s="1"/>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row>
    <row r="16" spans="1:113" x14ac:dyDescent="0.25">
      <c r="A16" s="22">
        <v>2045</v>
      </c>
      <c r="B16" s="27">
        <f>B15/(1+Parameters!$C$4)</f>
        <v>1.6129379387339875E-2</v>
      </c>
      <c r="C16" s="28">
        <f t="shared" si="9"/>
        <v>52.987076949727296</v>
      </c>
      <c r="D16" s="70">
        <f>Parameters!$C$19+(Parameters!$C$20*R16)</f>
        <v>0.10045568002122873</v>
      </c>
      <c r="E16" s="25">
        <f>($E$9/((1+Parameters!$C$8)^(A16-$A$9)))-Parameters!$C$9*Y16</f>
        <v>6.1937666844225643E-2</v>
      </c>
      <c r="F16" s="24">
        <f t="shared" si="10"/>
        <v>6.0391431622350371</v>
      </c>
      <c r="G16" s="116">
        <v>1814.7</v>
      </c>
      <c r="H16" s="14">
        <f>Parameters!L61</f>
        <v>80152.999476753161</v>
      </c>
      <c r="I16" s="14">
        <f>Parameters!M61</f>
        <v>141245.98279090913</v>
      </c>
      <c r="J16" s="14">
        <f>Parameters!N61</f>
        <v>9785.4371310306251</v>
      </c>
      <c r="K16" s="14">
        <f>Parameters!O61</f>
        <v>46006.597989740636</v>
      </c>
      <c r="L16" s="35">
        <v>25</v>
      </c>
      <c r="M16" s="35">
        <f t="shared" si="11"/>
        <v>32.5</v>
      </c>
      <c r="N16" s="137">
        <f>Parameters!P61</f>
        <v>221398982.26766229</v>
      </c>
      <c r="O16" s="139">
        <f>(((L16*Parameters!L61)+(M16*Parameters!M61))*Parameters!$C$24)/1000000</f>
        <v>6.2125083327639832</v>
      </c>
      <c r="P16" s="138">
        <f>(H16+I16)/Parameters!B46</f>
        <v>0.67752812354888481</v>
      </c>
      <c r="Q16" s="39">
        <f>Parameters!O61/Parameters!B61</f>
        <v>0.14079000584190896</v>
      </c>
      <c r="R16" s="113">
        <f>(IF(P16-BAU!N14 &lt; 0, 0, P16-BAU!N14))+(IF(BAU!O14-Q16 &lt; 0,  0, BAU!O14-Q16))</f>
        <v>0.45568002122873286</v>
      </c>
      <c r="S16" s="39">
        <f t="shared" si="4"/>
        <v>0.45568002122873286</v>
      </c>
      <c r="T16" s="32">
        <f t="shared" si="5"/>
        <v>3.6528248041784908E-2</v>
      </c>
      <c r="U16" s="75">
        <f>T16*(S16^Parameters!$C$31)</f>
        <v>4.0446114705126853E-3</v>
      </c>
      <c r="V16" s="21">
        <f t="shared" si="6"/>
        <v>0.14079000584190896</v>
      </c>
      <c r="W16" s="21">
        <f t="shared" si="0"/>
        <v>139.06919513490283</v>
      </c>
      <c r="X16" s="20">
        <f>X15+(W16/Parameters!$C$12)</f>
        <v>1188.1574036314053</v>
      </c>
      <c r="Y16" s="23">
        <f>X16*Parameters!$C$13</f>
        <v>2.1386833265365293</v>
      </c>
      <c r="Z16" s="32">
        <f t="shared" si="7"/>
        <v>0.98919158228758397</v>
      </c>
      <c r="AA16" s="28">
        <f>((Parameters!$C$18*F16*Z16)/(D16+B16))^(1/(1-Parameters!$C$21))</f>
        <v>20.63748676791214</v>
      </c>
      <c r="AB16" s="24">
        <f>(1-U16)*Z16*F16*(AA16^Parameters!$C$21)</f>
        <v>19.969093284915495</v>
      </c>
      <c r="AC16" s="23">
        <f>(1-Parameters!$C$18)*AB16</f>
        <v>17.572802090725634</v>
      </c>
      <c r="AD16" s="30">
        <f t="shared" si="8"/>
        <v>2.8663523710270371</v>
      </c>
      <c r="AE16" s="23">
        <f>1/(1+Parameters!$C$22*(A16-$A$9))</f>
        <v>0.65573770491803285</v>
      </c>
      <c r="AF16" s="30">
        <f t="shared" si="1"/>
        <v>99.59320239255274</v>
      </c>
      <c r="AG16" s="30">
        <f>BAU!AF14</f>
        <v>20.873702061172605</v>
      </c>
      <c r="AH16" s="30">
        <f t="shared" si="2"/>
        <v>-47.932574836934116</v>
      </c>
      <c r="AI16" s="4"/>
      <c r="AJ16" s="4"/>
      <c r="AK16" s="4"/>
      <c r="AL16" s="1"/>
      <c r="AM16" s="1"/>
      <c r="AN16" s="1"/>
      <c r="AO16" s="1"/>
      <c r="AP16" s="1"/>
      <c r="AQ16" s="1"/>
      <c r="AR16" s="1"/>
      <c r="AS16" s="1"/>
      <c r="AT16" s="1"/>
      <c r="AU16" s="1"/>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row>
    <row r="17" spans="1:113" ht="15.75" thickBot="1" x14ac:dyDescent="0.3">
      <c r="A17" s="22">
        <v>2050</v>
      </c>
      <c r="B17" s="27">
        <f>B16/(1+Parameters!$C$4)</f>
        <v>1.533210968378315E-2</v>
      </c>
      <c r="C17" s="28">
        <f t="shared" si="9"/>
        <v>53.79948062534357</v>
      </c>
      <c r="D17" s="70">
        <f>Parameters!$C$19+(Parameters!$C$20*R17)</f>
        <v>0.10049864704468618</v>
      </c>
      <c r="E17" s="25">
        <f>($E$9/((1+Parameters!$C$8)^(A17-$A$9)))-Parameters!$C$9*Y17</f>
        <v>5.999277471790352E-2</v>
      </c>
      <c r="F17" s="24">
        <f>F16*(1+E17)</f>
        <v>6.4014481174561704</v>
      </c>
      <c r="G17" s="116">
        <v>1946.6</v>
      </c>
      <c r="H17" s="14">
        <f>Parameters!L62</f>
        <v>90965.710287184847</v>
      </c>
      <c r="I17" s="14">
        <f>Parameters!M62</f>
        <v>148539.01722352521</v>
      </c>
      <c r="J17" s="14">
        <f>Parameters!N62</f>
        <v>6133.3047331966181</v>
      </c>
      <c r="K17" s="14">
        <f>Parameters!O62</f>
        <v>39641.889162162595</v>
      </c>
      <c r="L17" s="14">
        <v>25</v>
      </c>
      <c r="M17" s="14">
        <f t="shared" si="11"/>
        <v>32.5</v>
      </c>
      <c r="N17" s="137">
        <f>Parameters!P62</f>
        <v>239504727.51071006</v>
      </c>
      <c r="O17" s="140">
        <f>(((L17*Parameters!L62)+(M17*Parameters!M62))*Parameters!$C$24)/1000000</f>
        <v>6.6904746556431229</v>
      </c>
      <c r="P17" s="138">
        <f>(H17+I17)/Parameters!B47</f>
        <v>0.7153303157959251</v>
      </c>
      <c r="Q17" s="39">
        <f>Parameters!O62/Parameters!B62</f>
        <v>0.11839868627164686</v>
      </c>
      <c r="R17" s="113">
        <f>(IF(P17-BAU!N15 &lt; 0, 0, P17-BAU!N15))+(IF(BAU!O15-Q17 &lt; 0,  0, BAU!O15-Q17))</f>
        <v>0.49864704468618015</v>
      </c>
      <c r="S17" s="39">
        <f t="shared" si="4"/>
        <v>0.49864704468618015</v>
      </c>
      <c r="T17" s="32">
        <f>T16*(1+(-E17))</f>
        <v>3.4336817086174407E-2</v>
      </c>
      <c r="U17" s="75">
        <f>T17*(S17^Parameters!$C$31)</f>
        <v>4.8930666727095258E-3</v>
      </c>
      <c r="V17" s="21">
        <f>Q17</f>
        <v>0.11839868627164686</v>
      </c>
      <c r="W17" s="21">
        <f t="shared" si="0"/>
        <v>115.54926356543997</v>
      </c>
      <c r="X17" s="20">
        <f>X16+(W17/Parameters!$C$12)</f>
        <v>1219.6708391492525</v>
      </c>
      <c r="Y17" s="23">
        <f>X17*Parameters!$C$13</f>
        <v>2.1954075104686543</v>
      </c>
      <c r="Z17" s="32">
        <f t="shared" si="7"/>
        <v>0.98861724950935626</v>
      </c>
      <c r="AA17" s="28">
        <f>((Parameters!$C$18*F17*Z17)/(D17+B17))^(1/(1-Parameters!$C$21))</f>
        <v>22.96710611644</v>
      </c>
      <c r="AB17" s="24">
        <f>(1-U17)*Z17*F17*(AA17^Parameters!$C$21)</f>
        <v>22.060668911362704</v>
      </c>
      <c r="AC17" s="23">
        <f>(1-Parameters!$C$18)*AB17</f>
        <v>19.41338864199918</v>
      </c>
      <c r="AD17" s="30">
        <f t="shared" si="8"/>
        <v>2.9659629642203411</v>
      </c>
      <c r="AE17" s="23">
        <f>1/(1+Parameters!$C$22*(A17-$A$9))</f>
        <v>0.625</v>
      </c>
      <c r="AF17" s="30">
        <f t="shared" si="1"/>
        <v>99.729541893161766</v>
      </c>
      <c r="AG17" s="30">
        <f>BAU!AF15</f>
        <v>23.187993404994479</v>
      </c>
      <c r="AH17" s="30">
        <f t="shared" si="2"/>
        <v>-60.649472253617944</v>
      </c>
      <c r="AI17" s="4"/>
      <c r="AJ17" s="4"/>
      <c r="AK17" s="4"/>
      <c r="AL17" s="1"/>
      <c r="AM17" s="1"/>
      <c r="AN17" s="1"/>
      <c r="AO17" s="1"/>
      <c r="AP17" s="1"/>
      <c r="AQ17" s="1"/>
      <c r="AR17" s="1"/>
      <c r="AS17" s="1"/>
      <c r="AT17" s="1"/>
      <c r="AU17" s="1"/>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row>
    <row r="18" spans="1:113" ht="56.25" x14ac:dyDescent="0.2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7"/>
      <c r="AD18" s="7"/>
      <c r="AE18" s="33" t="s">
        <v>78</v>
      </c>
      <c r="AF18" s="88">
        <f>SUM(AF9:AF17)</f>
        <v>886.89556348905614</v>
      </c>
      <c r="AG18" s="108"/>
      <c r="AH18" s="76"/>
      <c r="AI18" s="4"/>
      <c r="AJ18" s="4"/>
      <c r="AK18" s="4"/>
      <c r="AM18" s="1"/>
      <c r="AN18" s="1"/>
      <c r="AO18" s="1"/>
      <c r="AP18" s="1"/>
      <c r="AQ18" s="1"/>
      <c r="AR18" s="1"/>
      <c r="AS18" s="1"/>
      <c r="AT18" s="1"/>
      <c r="AU18" s="1"/>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row>
    <row r="19" spans="1:113" x14ac:dyDescent="0.25">
      <c r="A19" s="3"/>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7"/>
      <c r="AD19" s="7"/>
      <c r="AE19" s="4"/>
      <c r="AF19" s="4"/>
      <c r="AG19" s="4"/>
      <c r="AH19" s="4"/>
      <c r="AI19" s="4"/>
      <c r="AJ19" s="4"/>
      <c r="AK19" s="4"/>
      <c r="AM19" s="1"/>
      <c r="AN19" s="1"/>
      <c r="AO19" s="1"/>
      <c r="AP19" s="1"/>
      <c r="AQ19" s="1"/>
      <c r="AR19" s="1"/>
      <c r="AS19" s="1"/>
      <c r="AT19" s="1"/>
      <c r="AU19" s="1"/>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row>
    <row r="20" spans="1:113" x14ac:dyDescent="0.25">
      <c r="A20" s="3"/>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7"/>
      <c r="AD20" s="7"/>
      <c r="AE20" s="4"/>
      <c r="AF20" s="4"/>
      <c r="AG20" s="4"/>
      <c r="AH20" s="4"/>
      <c r="AI20" s="4"/>
      <c r="AJ20" s="4"/>
      <c r="AK20" s="4"/>
      <c r="AM20" s="1"/>
      <c r="AN20" s="1"/>
      <c r="AO20" s="1"/>
      <c r="AP20" s="1"/>
      <c r="AQ20" s="1"/>
      <c r="AR20" s="1"/>
      <c r="AS20" s="1"/>
      <c r="AT20" s="1"/>
      <c r="AU20" s="1"/>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row>
    <row r="21" spans="1:113" ht="18.75" x14ac:dyDescent="0.3">
      <c r="A21" s="31" t="s">
        <v>297</v>
      </c>
      <c r="E21" s="31"/>
      <c r="AI21" s="4"/>
      <c r="AJ21" s="4"/>
      <c r="AK21" s="4"/>
      <c r="AM21" s="1"/>
      <c r="AN21" s="1"/>
      <c r="AO21" s="1"/>
      <c r="AP21" s="1"/>
      <c r="AQ21" s="1"/>
      <c r="AR21" s="1"/>
      <c r="AS21" s="1"/>
      <c r="AT21" s="1"/>
      <c r="AU21" s="1"/>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row>
    <row r="22" spans="1:113" x14ac:dyDescent="0.25">
      <c r="A22" s="16" t="s">
        <v>25</v>
      </c>
      <c r="B22" s="168" t="s">
        <v>68</v>
      </c>
      <c r="C22" s="169"/>
      <c r="D22" s="169"/>
      <c r="E22" s="169"/>
      <c r="F22" s="170"/>
      <c r="G22" s="128"/>
      <c r="H22" s="165" t="s">
        <v>116</v>
      </c>
      <c r="I22" s="166"/>
      <c r="J22" s="166"/>
      <c r="K22" s="166"/>
      <c r="L22" s="166"/>
      <c r="M22" s="166"/>
      <c r="N22" s="166"/>
      <c r="O22" s="166"/>
      <c r="P22" s="166"/>
      <c r="Q22" s="166"/>
      <c r="R22" s="166"/>
      <c r="S22" s="166"/>
      <c r="T22" s="166"/>
      <c r="U22" s="166"/>
      <c r="V22" s="179" t="s">
        <v>39</v>
      </c>
      <c r="W22" s="179"/>
      <c r="X22" s="179"/>
      <c r="Y22" s="179"/>
      <c r="Z22" s="179"/>
      <c r="AA22" s="186" t="s">
        <v>79</v>
      </c>
      <c r="AB22" s="186"/>
      <c r="AC22" s="187"/>
      <c r="AD22" s="174" t="s">
        <v>40</v>
      </c>
      <c r="AE22" s="175"/>
      <c r="AF22" s="175"/>
      <c r="AG22" s="175"/>
      <c r="AH22" s="175"/>
      <c r="AI22" s="4"/>
      <c r="AJ22" s="4"/>
      <c r="AK22" s="4"/>
      <c r="AM22" s="1"/>
      <c r="AN22" s="1"/>
      <c r="AO22" s="1"/>
      <c r="AP22" s="1"/>
      <c r="AQ22" s="1"/>
      <c r="AR22" s="1"/>
      <c r="AS22" s="1"/>
      <c r="AT22" s="1"/>
      <c r="AU22" s="1"/>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row>
    <row r="23" spans="1:113" x14ac:dyDescent="0.25">
      <c r="A23" s="36"/>
      <c r="B23" s="171"/>
      <c r="C23" s="172"/>
      <c r="D23" s="172"/>
      <c r="E23" s="172"/>
      <c r="F23" s="173"/>
      <c r="G23" s="129"/>
      <c r="H23" s="162" t="s">
        <v>94</v>
      </c>
      <c r="I23" s="163"/>
      <c r="J23" s="163"/>
      <c r="K23" s="163"/>
      <c r="L23" s="190" t="s">
        <v>107</v>
      </c>
      <c r="M23" s="191"/>
      <c r="N23" s="192"/>
      <c r="O23" s="190" t="s">
        <v>99</v>
      </c>
      <c r="P23" s="191"/>
      <c r="Q23" s="191"/>
      <c r="R23" s="191"/>
      <c r="S23" s="191"/>
      <c r="T23" s="191"/>
      <c r="U23" s="191"/>
      <c r="V23" s="181"/>
      <c r="W23" s="181"/>
      <c r="X23" s="181"/>
      <c r="Y23" s="181"/>
      <c r="Z23" s="181"/>
      <c r="AA23" s="188"/>
      <c r="AB23" s="188"/>
      <c r="AC23" s="189"/>
      <c r="AD23" s="176"/>
      <c r="AE23" s="177"/>
      <c r="AF23" s="177"/>
      <c r="AG23" s="177"/>
      <c r="AH23" s="177"/>
      <c r="AI23" s="4"/>
      <c r="AJ23" s="4"/>
      <c r="AK23" s="4"/>
      <c r="AM23" s="1"/>
      <c r="AN23" s="1"/>
      <c r="AO23" s="1"/>
      <c r="AP23" s="1"/>
      <c r="AQ23" s="1"/>
      <c r="AR23" s="1"/>
      <c r="AS23" s="1"/>
      <c r="AT23" s="1"/>
      <c r="AU23" s="1"/>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row>
    <row r="24" spans="1:113" ht="69" thickBot="1" x14ac:dyDescent="0.3">
      <c r="A24" s="17" t="s">
        <v>43</v>
      </c>
      <c r="B24" s="18" t="s">
        <v>31</v>
      </c>
      <c r="C24" s="18" t="s">
        <v>59</v>
      </c>
      <c r="D24" s="18" t="s">
        <v>31</v>
      </c>
      <c r="E24" s="18" t="s">
        <v>31</v>
      </c>
      <c r="F24" s="18" t="s">
        <v>31</v>
      </c>
      <c r="G24" s="18" t="s">
        <v>250</v>
      </c>
      <c r="H24" s="34" t="s">
        <v>95</v>
      </c>
      <c r="I24" s="34" t="s">
        <v>95</v>
      </c>
      <c r="J24" s="34" t="s">
        <v>95</v>
      </c>
      <c r="K24" s="34" t="s">
        <v>95</v>
      </c>
      <c r="L24" s="34" t="s">
        <v>307</v>
      </c>
      <c r="M24" s="34" t="s">
        <v>307</v>
      </c>
      <c r="N24" s="34" t="s">
        <v>237</v>
      </c>
      <c r="O24" s="34" t="s">
        <v>322</v>
      </c>
      <c r="P24" s="34" t="s">
        <v>100</v>
      </c>
      <c r="Q24" s="34" t="s">
        <v>100</v>
      </c>
      <c r="R24" s="34" t="s">
        <v>215</v>
      </c>
      <c r="S24" s="34" t="s">
        <v>138</v>
      </c>
      <c r="T24" s="34" t="s">
        <v>122</v>
      </c>
      <c r="U24" s="34" t="s">
        <v>122</v>
      </c>
      <c r="V24" s="19" t="s">
        <v>216</v>
      </c>
      <c r="W24" s="19" t="s">
        <v>130</v>
      </c>
      <c r="X24" s="19" t="s">
        <v>31</v>
      </c>
      <c r="Y24" s="19" t="s">
        <v>49</v>
      </c>
      <c r="Z24" s="19" t="s">
        <v>48</v>
      </c>
      <c r="AA24" s="29" t="s">
        <v>233</v>
      </c>
      <c r="AB24" s="29" t="s">
        <v>233</v>
      </c>
      <c r="AC24" s="29" t="s">
        <v>233</v>
      </c>
      <c r="AD24" s="26" t="s">
        <v>19</v>
      </c>
      <c r="AE24" s="26" t="s">
        <v>4</v>
      </c>
      <c r="AF24" s="26" t="s">
        <v>4</v>
      </c>
      <c r="AG24" s="26" t="s">
        <v>234</v>
      </c>
      <c r="AH24" s="26" t="s">
        <v>232</v>
      </c>
      <c r="AI24" s="4"/>
      <c r="AJ24" s="4"/>
      <c r="AK24" s="4"/>
      <c r="AL24" s="1"/>
      <c r="AM24" s="1"/>
      <c r="AN24" s="1"/>
      <c r="AO24" s="1"/>
      <c r="AP24" s="1"/>
      <c r="AQ24" s="1"/>
      <c r="AR24" s="1"/>
      <c r="AS24" s="1"/>
      <c r="AT24" s="1"/>
      <c r="AU24" s="1"/>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row>
    <row r="25" spans="1:113" ht="63.75" x14ac:dyDescent="0.25">
      <c r="A25" s="10" t="s">
        <v>0</v>
      </c>
      <c r="B25" s="11" t="s">
        <v>50</v>
      </c>
      <c r="C25" s="11" t="s">
        <v>11</v>
      </c>
      <c r="D25" s="11" t="s">
        <v>133</v>
      </c>
      <c r="E25" s="11" t="s">
        <v>60</v>
      </c>
      <c r="F25" s="11" t="s">
        <v>61</v>
      </c>
      <c r="G25" s="11" t="s">
        <v>251</v>
      </c>
      <c r="H25" s="11" t="s">
        <v>96</v>
      </c>
      <c r="I25" s="11" t="s">
        <v>97</v>
      </c>
      <c r="J25" s="11" t="s">
        <v>98</v>
      </c>
      <c r="K25" s="11" t="s">
        <v>101</v>
      </c>
      <c r="L25" s="11" t="s">
        <v>299</v>
      </c>
      <c r="M25" s="11" t="s">
        <v>314</v>
      </c>
      <c r="N25" s="109" t="s">
        <v>236</v>
      </c>
      <c r="O25" s="135" t="s">
        <v>239</v>
      </c>
      <c r="P25" s="11" t="s">
        <v>104</v>
      </c>
      <c r="Q25" s="11" t="s">
        <v>212</v>
      </c>
      <c r="R25" s="11" t="s">
        <v>214</v>
      </c>
      <c r="S25" s="11" t="s">
        <v>126</v>
      </c>
      <c r="T25" s="11" t="s">
        <v>125</v>
      </c>
      <c r="U25" s="11" t="s">
        <v>137</v>
      </c>
      <c r="V25" s="11" t="s">
        <v>136</v>
      </c>
      <c r="W25" s="11" t="s">
        <v>217</v>
      </c>
      <c r="X25" s="11" t="s">
        <v>88</v>
      </c>
      <c r="Y25" s="11" t="s">
        <v>14</v>
      </c>
      <c r="Z25" s="11" t="s">
        <v>15</v>
      </c>
      <c r="AA25" s="11" t="s">
        <v>45</v>
      </c>
      <c r="AB25" s="11" t="s">
        <v>82</v>
      </c>
      <c r="AC25" s="11" t="s">
        <v>83</v>
      </c>
      <c r="AD25" s="11" t="s">
        <v>26</v>
      </c>
      <c r="AE25" s="11" t="s">
        <v>16</v>
      </c>
      <c r="AF25" s="11" t="s">
        <v>17</v>
      </c>
      <c r="AG25" s="11" t="s">
        <v>227</v>
      </c>
      <c r="AH25" s="11" t="s">
        <v>141</v>
      </c>
      <c r="AI25" s="4"/>
      <c r="AJ25" s="4"/>
      <c r="AK25" s="4"/>
      <c r="AL25" s="1"/>
      <c r="AM25" s="1"/>
      <c r="AN25" s="1"/>
      <c r="AO25" s="1"/>
      <c r="AP25" s="1"/>
      <c r="AQ25" s="1"/>
      <c r="AR25" s="1"/>
      <c r="AS25" s="1"/>
      <c r="AT25" s="1"/>
      <c r="AU25" s="1"/>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row>
    <row r="26" spans="1:113" x14ac:dyDescent="0.25">
      <c r="A26" s="10" t="s">
        <v>9</v>
      </c>
      <c r="B26" s="11" t="s">
        <v>51</v>
      </c>
      <c r="C26" s="11" t="s">
        <v>10</v>
      </c>
      <c r="D26" s="11" t="s">
        <v>134</v>
      </c>
      <c r="E26" s="11" t="s">
        <v>33</v>
      </c>
      <c r="F26" s="11" t="s">
        <v>30</v>
      </c>
      <c r="G26" s="11" t="s">
        <v>129</v>
      </c>
      <c r="H26" s="11" t="s">
        <v>84</v>
      </c>
      <c r="I26" s="11" t="s">
        <v>85</v>
      </c>
      <c r="J26" s="11" t="s">
        <v>86</v>
      </c>
      <c r="K26" s="11" t="s">
        <v>106</v>
      </c>
      <c r="L26" s="11" t="s">
        <v>89</v>
      </c>
      <c r="M26" s="11" t="s">
        <v>90</v>
      </c>
      <c r="N26" s="11" t="s">
        <v>235</v>
      </c>
      <c r="O26" s="136" t="s">
        <v>121</v>
      </c>
      <c r="P26" s="11" t="s">
        <v>105</v>
      </c>
      <c r="Q26" s="11" t="s">
        <v>213</v>
      </c>
      <c r="R26" s="11" t="s">
        <v>115</v>
      </c>
      <c r="S26" s="11" t="s">
        <v>127</v>
      </c>
      <c r="T26" s="11" t="s">
        <v>87</v>
      </c>
      <c r="U26" s="11" t="s">
        <v>119</v>
      </c>
      <c r="V26" s="11" t="s">
        <v>128</v>
      </c>
      <c r="W26" s="11" t="s">
        <v>62</v>
      </c>
      <c r="X26" s="11" t="s">
        <v>24</v>
      </c>
      <c r="Y26" s="11" t="s">
        <v>135</v>
      </c>
      <c r="Z26" s="11" t="s">
        <v>23</v>
      </c>
      <c r="AA26" s="11" t="s">
        <v>44</v>
      </c>
      <c r="AB26" s="11" t="s">
        <v>47</v>
      </c>
      <c r="AC26" s="11" t="s">
        <v>13</v>
      </c>
      <c r="AD26" s="11" t="s">
        <v>18</v>
      </c>
      <c r="AE26" s="11" t="s">
        <v>20</v>
      </c>
      <c r="AF26" s="11" t="s">
        <v>21</v>
      </c>
      <c r="AG26" s="11" t="s">
        <v>228</v>
      </c>
      <c r="AH26" s="11" t="s">
        <v>142</v>
      </c>
      <c r="AI26" s="4"/>
      <c r="AJ26" s="4"/>
      <c r="AK26" s="4"/>
      <c r="AL26" s="1"/>
      <c r="AM26" s="1"/>
      <c r="AN26" s="1"/>
      <c r="AO26" s="1"/>
      <c r="AP26" s="1"/>
      <c r="AQ26" s="1"/>
      <c r="AR26" s="1"/>
      <c r="AS26" s="1"/>
      <c r="AT26" s="1"/>
      <c r="AU26" s="1"/>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row>
    <row r="27" spans="1:113" x14ac:dyDescent="0.25">
      <c r="A27" s="22">
        <v>2010</v>
      </c>
      <c r="B27" s="28">
        <f>Parameters!$C$3</f>
        <v>2.3E-2</v>
      </c>
      <c r="C27" s="28">
        <f>Parameters!$C$5</f>
        <v>46.486621</v>
      </c>
      <c r="D27" s="70">
        <f>Parameters!$C$19</f>
        <v>0.1</v>
      </c>
      <c r="E27" s="21">
        <f>Parameters!$C$7</f>
        <v>7.9000000000000001E-2</v>
      </c>
      <c r="F27" s="24">
        <f>Parameters!$C$6</f>
        <v>3.8</v>
      </c>
      <c r="G27" s="116">
        <f>11614/10</f>
        <v>1161.4000000000001</v>
      </c>
      <c r="H27" s="14">
        <f>H9</f>
        <v>5559.3172086930372</v>
      </c>
      <c r="I27" s="14">
        <f t="shared" ref="I27:K27" si="12">I9</f>
        <v>30473.280877728444</v>
      </c>
      <c r="J27" s="14">
        <f t="shared" si="12"/>
        <v>47720.347945502341</v>
      </c>
      <c r="K27" s="14">
        <f t="shared" si="12"/>
        <v>166313.54618313035</v>
      </c>
      <c r="L27" s="131">
        <f>L28*(1+0.075)</f>
        <v>39.291249999999998</v>
      </c>
      <c r="M27" s="131">
        <f>M28*(1+0.06)</f>
        <v>59.550800000000002</v>
      </c>
      <c r="N27" s="137">
        <f>Parameters!P54</f>
        <v>36032598.086421482</v>
      </c>
      <c r="O27" s="139">
        <f>(((L27*Parameters!L54)+(M27*Parameters!M54))*Parameters!$C$24)/1000000</f>
        <v>1.9154219261713781</v>
      </c>
      <c r="P27" s="138">
        <f>(H27+I27)/Parameters!B39</f>
        <v>0.12078505660505993</v>
      </c>
      <c r="Q27" s="39">
        <f>Parameters!O54/Parameters!B54</f>
        <v>0.55750049002122004</v>
      </c>
      <c r="R27" s="113">
        <f>(IF(P27-BAU!N7 &lt; 0, 0, P27-BAU!N7))+(IF(BAU!O7-Q27 &lt; 0,  0, BAU!O7-Q27))</f>
        <v>8.4784719799987918E-5</v>
      </c>
      <c r="S27" s="39">
        <f>R27</f>
        <v>8.4784719799987918E-5</v>
      </c>
      <c r="T27" s="32">
        <f>Parameters!$C$30</f>
        <v>0.06</v>
      </c>
      <c r="U27" s="75">
        <f>T27*(S27^Parameters!$C$31)</f>
        <v>2.3847370562931092E-13</v>
      </c>
      <c r="V27" s="21">
        <f>Q9</f>
        <v>0.55750049002122004</v>
      </c>
      <c r="W27" s="21">
        <f t="shared" ref="W27:W35" si="13">(1-S27)*V27*G27</f>
        <v>647.4261726096247</v>
      </c>
      <c r="X27" s="20">
        <f>Parameters!$C$11</f>
        <v>530</v>
      </c>
      <c r="Y27" s="23">
        <f>X27*Parameters!$C$13</f>
        <v>0.95399999999999996</v>
      </c>
      <c r="Z27" s="32">
        <f>1/(1+((Y27/20.46)^2)+((Y27/6081)^6754))</f>
        <v>0.99783058667694802</v>
      </c>
      <c r="AA27" s="28">
        <f>((Parameters!$C$18*F27*Z27)/(D27+B27))^(1/(1-Parameters!$C$21))</f>
        <v>8.8483217392581075</v>
      </c>
      <c r="AB27" s="24">
        <f>(1-U27)*Z27*F27*(AA27^Parameters!$C$21)</f>
        <v>9.0695297827373995</v>
      </c>
      <c r="AC27" s="23">
        <f>(1-Parameters!$C$18)*AB27</f>
        <v>7.9811862088089116</v>
      </c>
      <c r="AD27" s="30">
        <f>LN(AC27)</f>
        <v>2.0770870481351547</v>
      </c>
      <c r="AE27" s="23">
        <f>1/(1+Parameters!$C$22*(A27-$A$9))</f>
        <v>1</v>
      </c>
      <c r="AF27" s="30">
        <f t="shared" ref="AF27:AF35" si="14">C27*AD27*AE27</f>
        <v>96.556758390667696</v>
      </c>
      <c r="AG27" s="30">
        <f>BAU!AF7</f>
        <v>9.1024174870568153</v>
      </c>
      <c r="AH27" s="30">
        <f t="shared" ref="AH27:AH35" si="15">(AB27-AG27)*C27</f>
        <v>-1.5288382462567447</v>
      </c>
      <c r="AI27" s="4"/>
      <c r="AJ27" s="4"/>
      <c r="AK27" s="4"/>
      <c r="AL27" s="1"/>
      <c r="AM27" s="1"/>
      <c r="AN27" s="1"/>
      <c r="AO27" s="1"/>
      <c r="AP27" s="1"/>
      <c r="AQ27" s="1"/>
      <c r="AR27" s="1"/>
      <c r="AS27" s="1"/>
      <c r="AT27" s="1"/>
      <c r="AU27" s="1"/>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row>
    <row r="28" spans="1:113" x14ac:dyDescent="0.25">
      <c r="A28" s="22">
        <v>2015</v>
      </c>
      <c r="B28" s="27">
        <f>B27/(1+Parameters!$C$4)</f>
        <v>2.1863117870722433E-2</v>
      </c>
      <c r="C28" s="28">
        <f t="shared" ref="C28:C30" si="16">C27*(1+B28)</f>
        <v>47.502963474334599</v>
      </c>
      <c r="D28" s="70">
        <f>Parameters!$C$19+(Parameters!$C$20*R28)</f>
        <v>0.10001390376979419</v>
      </c>
      <c r="E28" s="25">
        <f>($E$9/((1+Parameters!$C$8)^(A28-$A$9)))-Parameters!$C$9*Y28</f>
        <v>7.541800853720422E-2</v>
      </c>
      <c r="F28" s="24">
        <f>F27*(1+E28)</f>
        <v>4.0865884324413759</v>
      </c>
      <c r="G28" s="116">
        <v>1221.3</v>
      </c>
      <c r="H28" s="14">
        <f t="shared" ref="H28:K28" si="17">H10</f>
        <v>8406.2977035764925</v>
      </c>
      <c r="I28" s="14">
        <f t="shared" si="17"/>
        <v>43620.965196725607</v>
      </c>
      <c r="J28" s="14">
        <f t="shared" si="17"/>
        <v>37889.206829909628</v>
      </c>
      <c r="K28" s="14">
        <f t="shared" si="17"/>
        <v>141517.96380639906</v>
      </c>
      <c r="L28" s="131">
        <f>L29*(1+0.075)</f>
        <v>36.549999999999997</v>
      </c>
      <c r="M28" s="131">
        <f>M29*(1+0.06)</f>
        <v>56.18</v>
      </c>
      <c r="N28" s="137">
        <f>Parameters!P55</f>
        <v>52027262.900302097</v>
      </c>
      <c r="O28" s="139">
        <f>(((L28*Parameters!L55)+(M28*Parameters!M55))*Parameters!$C$24)/1000000</f>
        <v>2.5981949850809167</v>
      </c>
      <c r="P28" s="138">
        <f>(H28+I28)/Parameters!B40</f>
        <v>0.1865892773006082</v>
      </c>
      <c r="Q28" s="39">
        <f>Parameters!O55/Parameters!B55</f>
        <v>0.50753649374732535</v>
      </c>
      <c r="R28" s="113">
        <f>(IF(P28-BAU!N8 &lt; 0, 0, P28-BAU!N8))+(IF(BAU!O8-Q28 &lt; 0,  0, BAU!O8-Q28))</f>
        <v>1.3903769794187754E-2</v>
      </c>
      <c r="S28" s="39">
        <f t="shared" ref="S28:S34" si="18">R28</f>
        <v>1.3903769794187754E-2</v>
      </c>
      <c r="T28" s="32">
        <f>T27*(1+(-E28))</f>
        <v>5.547491948776774E-2</v>
      </c>
      <c r="U28" s="75">
        <f>T28*(S28^Parameters!$C$31)</f>
        <v>3.5064517920997509E-7</v>
      </c>
      <c r="V28" s="21">
        <f t="shared" ref="V28:V35" si="19">Q10</f>
        <v>0.50753649374732535</v>
      </c>
      <c r="W28" s="21">
        <f t="shared" si="13"/>
        <v>611.2360080449871</v>
      </c>
      <c r="X28" s="20">
        <f>X27+(W28/Parameters!$C$12)</f>
        <v>696.70072946681466</v>
      </c>
      <c r="Y28" s="23">
        <f>X28*Parameters!$C$13</f>
        <v>1.2540613130402665</v>
      </c>
      <c r="Z28" s="32">
        <f t="shared" ref="Z28:Z35" si="20">1/(1+((Y28/20.46)^2)+((Y28/6081)^6754))</f>
        <v>0.99625719026155024</v>
      </c>
      <c r="AA28" s="28">
        <f>((Parameters!$C$18*F28*Z28)/(D28+B28))^(1/(1-Parameters!$C$21))</f>
        <v>10.115475579960291</v>
      </c>
      <c r="AB28" s="24">
        <f>(1-U28)*Z28*F28*(AA28^Parameters!$C$21)</f>
        <v>10.27369669893433</v>
      </c>
      <c r="AC28" s="23">
        <f>(1-Parameters!$C$18)*AB28</f>
        <v>9.0408530950622108</v>
      </c>
      <c r="AD28" s="30">
        <f t="shared" ref="AD28:AD35" si="21">LN(AC28)</f>
        <v>2.2017535388744296</v>
      </c>
      <c r="AE28" s="23">
        <f>1/(1+Parameters!$C$22*(A28-$A$9))</f>
        <v>0.93023255813953487</v>
      </c>
      <c r="AF28" s="30">
        <f t="shared" si="14"/>
        <v>97.292853894547889</v>
      </c>
      <c r="AG28" s="30">
        <f>BAU!AF8</f>
        <v>10.358997143018955</v>
      </c>
      <c r="AH28" s="30">
        <f t="shared" si="15"/>
        <v>-4.0520238796964732</v>
      </c>
      <c r="AI28" s="4"/>
      <c r="AJ28" s="4"/>
      <c r="AK28" s="4"/>
      <c r="AL28" s="1"/>
      <c r="AM28" s="1"/>
      <c r="AN28" s="1"/>
      <c r="AO28" s="1"/>
      <c r="AP28" s="1"/>
      <c r="AQ28" s="1"/>
      <c r="AR28" s="1"/>
      <c r="AS28" s="1"/>
      <c r="AT28" s="1"/>
      <c r="AU28" s="1"/>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row>
    <row r="29" spans="1:113" x14ac:dyDescent="0.25">
      <c r="A29" s="22">
        <v>2020</v>
      </c>
      <c r="B29" s="27">
        <f>B28/(1+Parameters!$C$4)</f>
        <v>2.0782431436047938E-2</v>
      </c>
      <c r="C29" s="28">
        <f t="shared" si="16"/>
        <v>48.490190555749045</v>
      </c>
      <c r="D29" s="70">
        <f>Parameters!$C$19+(Parameters!$C$20*R29)</f>
        <v>0.10004202165269881</v>
      </c>
      <c r="E29" s="25">
        <f>($E$9/((1+Parameters!$C$8)^(A29-$A$9)))-Parameters!$C$9*Y29</f>
        <v>7.292269623756871E-2</v>
      </c>
      <c r="F29" s="24">
        <f>F28*(1+E29)</f>
        <v>4.3845934793482604</v>
      </c>
      <c r="G29" s="116">
        <v>1227.2</v>
      </c>
      <c r="H29" s="14">
        <f t="shared" ref="H29:K29" si="22">H11</f>
        <v>13748.398137477629</v>
      </c>
      <c r="I29" s="14">
        <f t="shared" si="22"/>
        <v>59277.541479991487</v>
      </c>
      <c r="J29" s="14">
        <f t="shared" si="22"/>
        <v>29881.531838158284</v>
      </c>
      <c r="K29" s="14">
        <f t="shared" si="22"/>
        <v>100767.29344666607</v>
      </c>
      <c r="L29" s="132">
        <f>Parameters!D113</f>
        <v>34</v>
      </c>
      <c r="M29" s="132">
        <f>Parameters!D115</f>
        <v>53</v>
      </c>
      <c r="N29" s="137">
        <f>Parameters!P56</f>
        <v>73025939.617469117</v>
      </c>
      <c r="O29" s="139">
        <f>(((L29*Parameters!L56)+(M29*Parameters!M56))*Parameters!$C$24)/1000000</f>
        <v>3.4001851470006996</v>
      </c>
      <c r="P29" s="138">
        <f>(H29+I29)/Parameters!B41</f>
        <v>0.29632023482072567</v>
      </c>
      <c r="Q29" s="39">
        <f>Parameters!O56/Parameters!B56</f>
        <v>0.40888742017942015</v>
      </c>
      <c r="R29" s="113">
        <f>(IF(P29-BAU!N9 &lt; 0, 0, P29-BAU!N9))+(IF(BAU!O9-Q29 &lt; 0,  0, BAU!O9-Q29))</f>
        <v>4.2021652698800704E-2</v>
      </c>
      <c r="S29" s="39">
        <f t="shared" si="18"/>
        <v>4.2021652698800704E-2</v>
      </c>
      <c r="T29" s="32">
        <f t="shared" ref="T29:T35" si="23">T28*(1+(-E29))</f>
        <v>5.1429538785157672E-2</v>
      </c>
      <c r="U29" s="75">
        <f>T29*(S29^Parameters!$C$31)</f>
        <v>7.1934526794887971E-6</v>
      </c>
      <c r="V29" s="21">
        <f t="shared" si="19"/>
        <v>0.40888742017942015</v>
      </c>
      <c r="W29" s="21">
        <f t="shared" si="13"/>
        <v>480.70073804330633</v>
      </c>
      <c r="X29" s="20">
        <f>X28+(W29/Parameters!$C$12)</f>
        <v>827.80093075135278</v>
      </c>
      <c r="Y29" s="23">
        <f>X29*Parameters!$C$13</f>
        <v>1.490041675352435</v>
      </c>
      <c r="Z29" s="32">
        <f t="shared" si="20"/>
        <v>0.99472420081694668</v>
      </c>
      <c r="AA29" s="28">
        <f>((Parameters!$C$18*F29*Z29)/(D29+B29))^(1/(1-Parameters!$C$21))</f>
        <v>11.510584472736785</v>
      </c>
      <c r="AB29" s="24">
        <f>(1-U29)*Z29*F29*(AA29^Parameters!$C$21)</f>
        <v>11.589583910695538</v>
      </c>
      <c r="AC29" s="23">
        <f>(1-Parameters!$C$18)*AB29</f>
        <v>10.198833841412073</v>
      </c>
      <c r="AD29" s="30">
        <f t="shared" si="21"/>
        <v>2.3222733844808094</v>
      </c>
      <c r="AE29" s="23">
        <f>1/(1+Parameters!$C$22*(A29-$A$9))</f>
        <v>0.86956521739130443</v>
      </c>
      <c r="AF29" s="30">
        <f t="shared" si="14"/>
        <v>97.919546900885862</v>
      </c>
      <c r="AG29" s="30">
        <f>BAU!AF9</f>
        <v>11.74488149448006</v>
      </c>
      <c r="AH29" s="30">
        <f t="shared" si="15"/>
        <v>-7.530409430558878</v>
      </c>
      <c r="AI29" s="4"/>
      <c r="AJ29" s="4"/>
      <c r="AK29" s="4"/>
      <c r="AL29" s="1"/>
      <c r="AM29" s="1"/>
      <c r="AN29" s="1"/>
      <c r="AO29" s="1"/>
      <c r="AP29" s="1"/>
      <c r="AQ29" s="1"/>
      <c r="AR29" s="1"/>
      <c r="AS29" s="1"/>
      <c r="AT29" s="1"/>
      <c r="AU29" s="1"/>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row>
    <row r="30" spans="1:113" x14ac:dyDescent="0.25">
      <c r="A30" s="22">
        <v>2025</v>
      </c>
      <c r="B30" s="27">
        <f>B29/(1+Parameters!$C$4)</f>
        <v>1.9755162962022753E-2</v>
      </c>
      <c r="C30" s="28">
        <f t="shared" si="16"/>
        <v>49.448122172237404</v>
      </c>
      <c r="D30" s="70">
        <f>Parameters!$C$19+(Parameters!$C$20*R30)</f>
        <v>0.1000977791334061</v>
      </c>
      <c r="E30" s="25">
        <f>($E$9/((1+Parameters!$C$8)^(A30-$A$9)))-Parameters!$C$9*Y30</f>
        <v>7.0505916920800202E-2</v>
      </c>
      <c r="F30" s="24">
        <f>F29*(1+E30)</f>
        <v>4.6937332629346713</v>
      </c>
      <c r="G30" s="116">
        <v>1401.8</v>
      </c>
      <c r="H30" s="14">
        <f t="shared" ref="H30:K30" si="24">H12</f>
        <v>23575.277537099944</v>
      </c>
      <c r="I30" s="14">
        <f t="shared" si="24"/>
        <v>79031.280607138498</v>
      </c>
      <c r="J30" s="14">
        <f t="shared" si="24"/>
        <v>27272.361473606685</v>
      </c>
      <c r="K30" s="14">
        <f t="shared" si="24"/>
        <v>100966.50990071571</v>
      </c>
      <c r="L30" s="131">
        <f>L29*(1-0.075)</f>
        <v>31.450000000000003</v>
      </c>
      <c r="M30" s="131">
        <f>M29*(1-0.06)</f>
        <v>49.82</v>
      </c>
      <c r="N30" s="137">
        <f>Parameters!P57</f>
        <v>102606558.14423844</v>
      </c>
      <c r="O30" s="139">
        <f>(((L30*Parameters!L57)+(M30*Parameters!M57))*Parameters!$C$24)/1000000</f>
        <v>4.4078794655306854</v>
      </c>
      <c r="P30" s="138">
        <f>(H30+I30)/Parameters!B42</f>
        <v>0.3666845964696584</v>
      </c>
      <c r="Q30" s="39">
        <f>Parameters!O57/Parameters!B57</f>
        <v>0.36082356342027461</v>
      </c>
      <c r="R30" s="113">
        <f>(IF(P30-BAU!N10 &lt; 0, 0, P30-BAU!N10))+(IF(BAU!O10-Q30 &lt; 0,  0, BAU!O10-Q30))</f>
        <v>9.7779133406092844E-2</v>
      </c>
      <c r="S30" s="39">
        <f>R30</f>
        <v>9.7779133406092844E-2</v>
      </c>
      <c r="T30" s="32">
        <f t="shared" si="23"/>
        <v>4.7803451996296271E-2</v>
      </c>
      <c r="U30" s="75">
        <f>T30*(S30^Parameters!$C$31)</f>
        <v>7.1145686452763715E-5</v>
      </c>
      <c r="V30" s="21">
        <f t="shared" si="19"/>
        <v>0.36082356342027461</v>
      </c>
      <c r="W30" s="21">
        <f t="shared" si="13"/>
        <v>456.34554389369623</v>
      </c>
      <c r="X30" s="20">
        <f>X29+(W30/Parameters!$C$12)</f>
        <v>952.25880635872454</v>
      </c>
      <c r="Y30" s="23">
        <f>X30*Parameters!$C$13</f>
        <v>1.7140658514457041</v>
      </c>
      <c r="Z30" s="32">
        <f t="shared" si="20"/>
        <v>0.99303042490954285</v>
      </c>
      <c r="AA30" s="28">
        <f>((Parameters!$C$18*F30*Z30)/(D30+B30))^(1/(1-Parameters!$C$21))</f>
        <v>13.032343309959112</v>
      </c>
      <c r="AB30" s="24">
        <f>(1-U30)*Z30*F30*(AA30^Parameters!$C$21)</f>
        <v>13.015446342052746</v>
      </c>
      <c r="AC30" s="23">
        <f>(1-Parameters!$C$18)*AB30</f>
        <v>11.453592781006417</v>
      </c>
      <c r="AD30" s="30">
        <f t="shared" si="21"/>
        <v>2.4383034607821603</v>
      </c>
      <c r="AE30" s="23">
        <f>1/(1+Parameters!$C$22*(A30-$A$9))</f>
        <v>0.81632653061224481</v>
      </c>
      <c r="AF30" s="30">
        <f t="shared" si="14"/>
        <v>98.424104017751446</v>
      </c>
      <c r="AG30" s="30">
        <f>BAU!AF10</f>
        <v>13.267674708883096</v>
      </c>
      <c r="AH30" s="30">
        <f t="shared" si="15"/>
        <v>-12.472219098331047</v>
      </c>
      <c r="AI30" s="4"/>
      <c r="AJ30" s="4"/>
      <c r="AK30" s="4"/>
      <c r="AL30" s="1"/>
      <c r="AM30" s="1"/>
      <c r="AN30" s="1"/>
      <c r="AO30" s="1"/>
      <c r="AP30" s="1"/>
      <c r="AQ30" s="1"/>
      <c r="AR30" s="1"/>
      <c r="AS30" s="1"/>
      <c r="AT30" s="1"/>
      <c r="AU30" s="1"/>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row>
    <row r="31" spans="1:113" x14ac:dyDescent="0.25">
      <c r="A31" s="22">
        <v>2030</v>
      </c>
      <c r="B31" s="27">
        <f>B30/(1+Parameters!$C$4)</f>
        <v>1.8778672017131893E-2</v>
      </c>
      <c r="C31" s="28">
        <f>C30*(1+B31)</f>
        <v>50.376692240372918</v>
      </c>
      <c r="D31" s="70">
        <f>Parameters!$C$19+(Parameters!$C$20*R31)</f>
        <v>0.10022641139347668</v>
      </c>
      <c r="E31" s="25">
        <f>($E$9/((1+Parameters!$C$8)^(A31-$A$9)))-Parameters!$C$9*Y31</f>
        <v>6.8223104493647102E-2</v>
      </c>
      <c r="F31" s="24">
        <f t="shared" ref="F31:F34" si="25">F30*(1+E31)</f>
        <v>5.0139543177971708</v>
      </c>
      <c r="G31" s="116">
        <v>1481.4</v>
      </c>
      <c r="H31" s="14">
        <f t="shared" ref="H31:K31" si="26">H13</f>
        <v>43722.485301554501</v>
      </c>
      <c r="I31" s="14">
        <f t="shared" si="26"/>
        <v>105193.26992963694</v>
      </c>
      <c r="J31" s="14">
        <f t="shared" si="26"/>
        <v>20043.307146330913</v>
      </c>
      <c r="K31" s="14">
        <f t="shared" si="26"/>
        <v>81509.837198496054</v>
      </c>
      <c r="L31" s="131">
        <f t="shared" ref="L31:L35" si="27">L30*(1-0.075)</f>
        <v>29.091250000000002</v>
      </c>
      <c r="M31" s="131">
        <f t="shared" ref="M31:M35" si="28">M30*(1-0.06)</f>
        <v>46.830799999999996</v>
      </c>
      <c r="N31" s="137">
        <f>Parameters!P58</f>
        <v>148915755.23119143</v>
      </c>
      <c r="O31" s="139">
        <f>(((L31*Parameters!L58)+(M31*Parameters!M58))*Parameters!$C$24)/1000000</f>
        <v>5.8393494079382018</v>
      </c>
      <c r="P31" s="138">
        <f>(H31+I31)/Parameters!B43</f>
        <v>0.5022957451484964</v>
      </c>
      <c r="Q31" s="39">
        <f>Parameters!O58/Parameters!B58</f>
        <v>0.27493426970832441</v>
      </c>
      <c r="R31" s="113">
        <f>(IF(P31-BAU!N11 &lt; 0, 0, P31-BAU!N11))+(IF(BAU!O11-Q31 &lt; 0,  0, BAU!O11-Q31))</f>
        <v>0.2264113934766811</v>
      </c>
      <c r="S31" s="39">
        <f t="shared" si="18"/>
        <v>0.2264113934766811</v>
      </c>
      <c r="T31" s="32">
        <f t="shared" si="23"/>
        <v>4.4542152095595908E-2</v>
      </c>
      <c r="U31" s="75">
        <f>T31*(S31^Parameters!$C$31)</f>
        <v>6.9580312341208572E-4</v>
      </c>
      <c r="V31" s="21">
        <f t="shared" si="19"/>
        <v>0.27493426970832441</v>
      </c>
      <c r="W31" s="21">
        <f t="shared" si="13"/>
        <v>315.07306793799495</v>
      </c>
      <c r="X31" s="20">
        <f>X30+(W31/Parameters!$C$12)</f>
        <v>1038.1878248872686</v>
      </c>
      <c r="Y31" s="23">
        <f>X31*Parameters!$C$13</f>
        <v>1.8687380847970834</v>
      </c>
      <c r="Z31" s="32">
        <f t="shared" si="20"/>
        <v>0.99172672177259391</v>
      </c>
      <c r="AA31" s="28">
        <f>((Parameters!$C$18*F31*Z31)/(D31+B31))^(1/(1-Parameters!$C$21))</f>
        <v>14.688593151383383</v>
      </c>
      <c r="AB31" s="24">
        <f>(1-U31)*Z31*F31*(AA31^Parameters!$C$21)</f>
        <v>14.556674810836194</v>
      </c>
      <c r="AC31" s="23">
        <f>(1-Parameters!$C$18)*AB31</f>
        <v>12.809873833535852</v>
      </c>
      <c r="AD31" s="30">
        <f t="shared" si="21"/>
        <v>2.5502162667997075</v>
      </c>
      <c r="AE31" s="23">
        <f>1/(1+Parameters!$C$22*(A31-$A$9))</f>
        <v>0.76923076923076916</v>
      </c>
      <c r="AF31" s="30">
        <f t="shared" si="14"/>
        <v>98.824200014585841</v>
      </c>
      <c r="AG31" s="30">
        <f>BAU!AF11</f>
        <v>14.934834851616968</v>
      </c>
      <c r="AH31" s="30">
        <f t="shared" si="15"/>
        <v>-19.050451992019909</v>
      </c>
      <c r="AI31" s="4"/>
      <c r="AJ31" s="4"/>
      <c r="AK31" s="4"/>
      <c r="AL31" s="1"/>
      <c r="AM31" s="1"/>
      <c r="AN31" s="1"/>
      <c r="AO31" s="1"/>
      <c r="AP31" s="1"/>
      <c r="AQ31" s="1"/>
      <c r="AR31" s="1"/>
      <c r="AS31" s="1"/>
      <c r="AT31" s="1"/>
      <c r="AU31" s="1"/>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row>
    <row r="32" spans="1:113" x14ac:dyDescent="0.25">
      <c r="A32" s="22">
        <v>2035</v>
      </c>
      <c r="B32" s="27">
        <f>B31/(1+Parameters!$C$4)</f>
        <v>1.7850448685486589E-2</v>
      </c>
      <c r="C32" s="28">
        <f t="shared" ref="C32:C35" si="29">C31*(1+B32)</f>
        <v>51.27593880015425</v>
      </c>
      <c r="D32" s="70">
        <f>Parameters!$C$19+(Parameters!$C$20*R32)</f>
        <v>0.10031737334112974</v>
      </c>
      <c r="E32" s="25">
        <f>($E$9/((1+Parameters!$C$8)^(A32-$A$9)))-Parameters!$C$9*Y32</f>
        <v>6.6041526531316549E-2</v>
      </c>
      <c r="F32" s="24">
        <f t="shared" si="25"/>
        <v>5.3450835149027816</v>
      </c>
      <c r="G32" s="116">
        <v>1574.3</v>
      </c>
      <c r="H32" s="14">
        <f t="shared" ref="H32:K32" si="30">H14</f>
        <v>56901.485786933714</v>
      </c>
      <c r="I32" s="14">
        <f t="shared" si="30"/>
        <v>118459.12846488837</v>
      </c>
      <c r="J32" s="14">
        <f t="shared" si="30"/>
        <v>15560.399481870791</v>
      </c>
      <c r="K32" s="14">
        <f t="shared" si="30"/>
        <v>67714.283811454661</v>
      </c>
      <c r="L32" s="131">
        <f t="shared" si="27"/>
        <v>26.909406250000004</v>
      </c>
      <c r="M32" s="131">
        <f t="shared" si="28"/>
        <v>44.020951999999994</v>
      </c>
      <c r="N32" s="137">
        <f>Parameters!P59</f>
        <v>175360614.25182208</v>
      </c>
      <c r="O32" s="139">
        <f>(((L32*Parameters!L59)+(M32*Parameters!M59))*Parameters!$C$24)/1000000</f>
        <v>6.3552830015521584</v>
      </c>
      <c r="P32" s="138">
        <f>(H32+I32)/Parameters!B44</f>
        <v>0.57015668210272508</v>
      </c>
      <c r="Q32" s="39">
        <f>Parameters!O59/Parameters!B59</f>
        <v>0.22016204467360953</v>
      </c>
      <c r="R32" s="113">
        <f>(IF(P32-BAU!N12 &lt; 0, 0, P32-BAU!N12))+(IF(BAU!O12-Q32 &lt; 0,  0, BAU!O12-Q32))</f>
        <v>0.31737334112972593</v>
      </c>
      <c r="S32" s="39">
        <f t="shared" si="18"/>
        <v>0.31737334112972593</v>
      </c>
      <c r="T32" s="32">
        <f t="shared" si="23"/>
        <v>4.1600520376212674E-2</v>
      </c>
      <c r="U32" s="75">
        <f>T32*(S32^Parameters!$C$31)</f>
        <v>1.6730002508499324E-3</v>
      </c>
      <c r="V32" s="21">
        <f t="shared" si="19"/>
        <v>0.22016204467360953</v>
      </c>
      <c r="W32" s="21">
        <f t="shared" si="13"/>
        <v>236.59915558413479</v>
      </c>
      <c r="X32" s="20">
        <f>X31+(W32/Parameters!$C$12)</f>
        <v>1102.7148673193053</v>
      </c>
      <c r="Y32" s="23">
        <f>X32*Parameters!$C$13</f>
        <v>1.9848867611747496</v>
      </c>
      <c r="Z32" s="32">
        <f t="shared" si="20"/>
        <v>0.99067622144065359</v>
      </c>
      <c r="AA32" s="28">
        <f>((Parameters!$C$18*F32*Z32)/(D32+B32))^(1/(1-Parameters!$C$21))</f>
        <v>16.504932360428032</v>
      </c>
      <c r="AB32" s="24">
        <f>(1-U32)*Z32*F32*(AA32^Parameters!$C$21)</f>
        <v>16.225741420784829</v>
      </c>
      <c r="AC32" s="23">
        <f>(1-Parameters!$C$18)*AB32</f>
        <v>14.278652450290648</v>
      </c>
      <c r="AD32" s="30">
        <f t="shared" si="21"/>
        <v>2.658765586232521</v>
      </c>
      <c r="AE32" s="23">
        <f>1/(1+Parameters!$C$22*(A32-$A$9))</f>
        <v>0.72727272727272729</v>
      </c>
      <c r="AF32" s="30">
        <f t="shared" si="14"/>
        <v>99.149601078992717</v>
      </c>
      <c r="AG32" s="30">
        <f>BAU!AF12</f>
        <v>16.753616251228273</v>
      </c>
      <c r="AH32" s="30">
        <f t="shared" si="15"/>
        <v>-27.067277499959857</v>
      </c>
      <c r="AI32" s="4"/>
      <c r="AJ32" s="4"/>
      <c r="AK32" s="4"/>
      <c r="AL32" s="1"/>
      <c r="AM32" s="1"/>
      <c r="AN32" s="1"/>
      <c r="AO32" s="1"/>
      <c r="AP32" s="1"/>
      <c r="AQ32" s="1"/>
      <c r="AR32" s="1"/>
      <c r="AS32" s="1"/>
      <c r="AT32" s="1"/>
      <c r="AU32" s="1"/>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row>
    <row r="33" spans="1:113" x14ac:dyDescent="0.25">
      <c r="A33" s="22">
        <v>2040</v>
      </c>
      <c r="B33" s="27">
        <f>B32/(1+Parameters!$C$4)</f>
        <v>1.6968107115481548E-2</v>
      </c>
      <c r="C33" s="28">
        <f t="shared" si="29"/>
        <v>52.14599442216214</v>
      </c>
      <c r="D33" s="70">
        <f>Parameters!$C$19+(Parameters!$C$20*R33)</f>
        <v>0.10039191543708471</v>
      </c>
      <c r="E33" s="25">
        <f>($E$9/((1+Parameters!$C$8)^(A33-$A$9)))-Parameters!$C$9*Y33</f>
        <v>6.3951433988196471E-2</v>
      </c>
      <c r="F33" s="24">
        <f t="shared" si="25"/>
        <v>5.6869092704674831</v>
      </c>
      <c r="G33" s="116">
        <v>1689.8</v>
      </c>
      <c r="H33" s="14">
        <f t="shared" ref="H33:K33" si="31">H15</f>
        <v>69860.585141586096</v>
      </c>
      <c r="I33" s="14">
        <f t="shared" si="31"/>
        <v>133139.70793283489</v>
      </c>
      <c r="J33" s="14">
        <f t="shared" si="31"/>
        <v>12726.081927138761</v>
      </c>
      <c r="K33" s="14">
        <f t="shared" si="31"/>
        <v>54193.518151949807</v>
      </c>
      <c r="L33" s="131">
        <f t="shared" si="27"/>
        <v>24.891200781250003</v>
      </c>
      <c r="M33" s="131">
        <f t="shared" si="28"/>
        <v>41.379694879999995</v>
      </c>
      <c r="N33" s="137">
        <f>Parameters!P60</f>
        <v>203000293.07442099</v>
      </c>
      <c r="O33" s="139">
        <f>(((L33*Parameters!L60)+(M33*Parameters!M60))*Parameters!$C$24)/1000000</f>
        <v>6.8285238897186495</v>
      </c>
      <c r="P33" s="138">
        <f>(H33+I33)/Parameters!B45</f>
        <v>0.63510905619225155</v>
      </c>
      <c r="Q33" s="39">
        <f>Parameters!O60/Parameters!B60</f>
        <v>0.16955046539072915</v>
      </c>
      <c r="R33" s="113">
        <f>(IF(P33-BAU!N13 &lt; 0, 0, P33-BAU!N13))+(IF(BAU!O13-Q33 &lt; 0,  0, BAU!O13-Q33))</f>
        <v>0.39191543708470722</v>
      </c>
      <c r="S33" s="39">
        <f t="shared" si="18"/>
        <v>0.39191543708470722</v>
      </c>
      <c r="T33" s="32">
        <f t="shared" si="23"/>
        <v>3.8940107443498684E-2</v>
      </c>
      <c r="U33" s="75">
        <f>T33*(S33^Parameters!$C$31)</f>
        <v>2.8270649219960201E-3</v>
      </c>
      <c r="V33" s="21">
        <f t="shared" si="19"/>
        <v>0.16955046539072915</v>
      </c>
      <c r="W33" s="21">
        <f t="shared" si="13"/>
        <v>174.22010467613032</v>
      </c>
      <c r="X33" s="20">
        <f>X32+(W33/Parameters!$C$12)</f>
        <v>1150.2294413218863</v>
      </c>
      <c r="Y33" s="23">
        <f>X33*Parameters!$C$13</f>
        <v>2.0704129943793954</v>
      </c>
      <c r="Z33" s="32">
        <f t="shared" si="20"/>
        <v>0.98986373111480763</v>
      </c>
      <c r="AA33" s="28">
        <f>((Parameters!$C$18*F33*Z33)/(D33+B33))^(1/(1-Parameters!$C$21))</f>
        <v>18.48649688446519</v>
      </c>
      <c r="AB33" s="24">
        <f>(1-U33)*Z33*F33*(AA33^Parameters!$C$21)</f>
        <v>18.028684666219593</v>
      </c>
      <c r="AC33" s="23">
        <f>(1-Parameters!$C$18)*AB33</f>
        <v>15.865242506273242</v>
      </c>
      <c r="AD33" s="30">
        <f t="shared" si="21"/>
        <v>2.7641307105327848</v>
      </c>
      <c r="AE33" s="23">
        <f>1/(1+Parameters!$C$22*(A33-$A$9))</f>
        <v>0.68965517241379315</v>
      </c>
      <c r="AF33" s="30">
        <f t="shared" si="14"/>
        <v>99.405754905910129</v>
      </c>
      <c r="AG33" s="30">
        <f>BAU!AF13</f>
        <v>18.731012679021322</v>
      </c>
      <c r="AH33" s="30">
        <f t="shared" si="15"/>
        <v>-36.623592638087182</v>
      </c>
      <c r="AI33" s="4"/>
      <c r="AJ33" s="4"/>
      <c r="AK33" s="4"/>
      <c r="AL33" s="1"/>
      <c r="AM33" s="1"/>
      <c r="AN33" s="1"/>
      <c r="AO33" s="1"/>
      <c r="AP33" s="1"/>
      <c r="AQ33" s="1"/>
      <c r="AR33" s="1"/>
      <c r="AS33" s="1"/>
      <c r="AT33" s="1"/>
      <c r="AU33" s="1"/>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row>
    <row r="34" spans="1:113" x14ac:dyDescent="0.25">
      <c r="A34" s="22">
        <v>2045</v>
      </c>
      <c r="B34" s="27">
        <f>B33/(1+Parameters!$C$4)</f>
        <v>1.6129379387339875E-2</v>
      </c>
      <c r="C34" s="28">
        <f t="shared" si="29"/>
        <v>52.987076949727296</v>
      </c>
      <c r="D34" s="70">
        <f>Parameters!$C$19+(Parameters!$C$20*R34)</f>
        <v>0.10045568002122873</v>
      </c>
      <c r="E34" s="25">
        <f>($E$9/((1+Parameters!$C$8)^(A34-$A$9)))-Parameters!$C$9*Y34</f>
        <v>6.1937666844225643E-2</v>
      </c>
      <c r="F34" s="24">
        <f t="shared" si="25"/>
        <v>6.0391431622350371</v>
      </c>
      <c r="G34" s="116">
        <v>1814.7</v>
      </c>
      <c r="H34" s="14">
        <f t="shared" ref="H34:K34" si="32">H16</f>
        <v>80152.999476753161</v>
      </c>
      <c r="I34" s="14">
        <f t="shared" si="32"/>
        <v>141245.98279090913</v>
      </c>
      <c r="J34" s="14">
        <f t="shared" si="32"/>
        <v>9785.4371310306251</v>
      </c>
      <c r="K34" s="14">
        <f t="shared" si="32"/>
        <v>46006.597989740636</v>
      </c>
      <c r="L34" s="131">
        <f t="shared" si="27"/>
        <v>23.024360722656255</v>
      </c>
      <c r="M34" s="131">
        <f t="shared" si="28"/>
        <v>38.896913187199992</v>
      </c>
      <c r="N34" s="137">
        <f>Parameters!P61</f>
        <v>221398982.26766229</v>
      </c>
      <c r="O34" s="139">
        <f>(((L34*Parameters!L61)+(M34*Parameters!M61))*Parameters!$C$24)/1000000</f>
        <v>6.9145470044351072</v>
      </c>
      <c r="P34" s="138">
        <f>(H34+I34)/Parameters!B46</f>
        <v>0.67752812354888481</v>
      </c>
      <c r="Q34" s="39">
        <f>Parameters!O61/Parameters!B61</f>
        <v>0.14079000584190896</v>
      </c>
      <c r="R34" s="113">
        <f>(IF(P34-BAU!N14 &lt; 0, 0, P34-BAU!N14))+(IF(BAU!O14-Q34 &lt; 0,  0, BAU!O14-Q34))</f>
        <v>0.45568002122873286</v>
      </c>
      <c r="S34" s="39">
        <f t="shared" si="18"/>
        <v>0.45568002122873286</v>
      </c>
      <c r="T34" s="32">
        <f t="shared" si="23"/>
        <v>3.6528248041784908E-2</v>
      </c>
      <c r="U34" s="75">
        <f>T34*(S34^Parameters!$C$31)</f>
        <v>4.0446114705126853E-3</v>
      </c>
      <c r="V34" s="21">
        <f t="shared" si="19"/>
        <v>0.14079000584190896</v>
      </c>
      <c r="W34" s="21">
        <f t="shared" si="13"/>
        <v>139.06919513490283</v>
      </c>
      <c r="X34" s="20">
        <f>X33+(W34/Parameters!$C$12)</f>
        <v>1188.1574036314053</v>
      </c>
      <c r="Y34" s="23">
        <f>X34*Parameters!$C$13</f>
        <v>2.1386833265365293</v>
      </c>
      <c r="Z34" s="32">
        <f t="shared" si="20"/>
        <v>0.98919158228758397</v>
      </c>
      <c r="AA34" s="28">
        <f>((Parameters!$C$18*F34*Z34)/(D34+B34))^(1/(1-Parameters!$C$21))</f>
        <v>20.63748676791214</v>
      </c>
      <c r="AB34" s="24">
        <f>(1-U34)*Z34*F34*(AA34^Parameters!$C$21)</f>
        <v>19.969093284915495</v>
      </c>
      <c r="AC34" s="23">
        <f>(1-Parameters!$C$18)*AB34</f>
        <v>17.572802090725634</v>
      </c>
      <c r="AD34" s="30">
        <f t="shared" si="21"/>
        <v>2.8663523710270371</v>
      </c>
      <c r="AE34" s="23">
        <f>1/(1+Parameters!$C$22*(A34-$A$9))</f>
        <v>0.65573770491803285</v>
      </c>
      <c r="AF34" s="30">
        <f t="shared" si="14"/>
        <v>99.59320239255274</v>
      </c>
      <c r="AG34" s="30">
        <f>BAU!AF14</f>
        <v>20.873702061172605</v>
      </c>
      <c r="AH34" s="30">
        <f t="shared" si="15"/>
        <v>-47.932574836934116</v>
      </c>
      <c r="AI34" s="4"/>
      <c r="AJ34" s="4"/>
      <c r="AK34" s="4"/>
      <c r="AL34" s="1"/>
      <c r="AM34" s="1"/>
      <c r="AN34" s="1"/>
      <c r="AO34" s="1"/>
      <c r="AP34" s="1"/>
      <c r="AQ34" s="1"/>
      <c r="AR34" s="1"/>
      <c r="AS34" s="1"/>
      <c r="AT34" s="1"/>
      <c r="AU34" s="1"/>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row>
    <row r="35" spans="1:113" ht="15.75" thickBot="1" x14ac:dyDescent="0.3">
      <c r="A35" s="22">
        <v>2050</v>
      </c>
      <c r="B35" s="27">
        <f>B34/(1+Parameters!$C$4)</f>
        <v>1.533210968378315E-2</v>
      </c>
      <c r="C35" s="28">
        <f t="shared" si="29"/>
        <v>53.79948062534357</v>
      </c>
      <c r="D35" s="70">
        <f>Parameters!$C$19+(Parameters!$C$20*R35)</f>
        <v>0.10049864704468618</v>
      </c>
      <c r="E35" s="25">
        <f>($E$9/((1+Parameters!$C$8)^(A35-$A$9)))-Parameters!$C$9*Y35</f>
        <v>5.999277471790352E-2</v>
      </c>
      <c r="F35" s="24">
        <f>F34*(1+E35)</f>
        <v>6.4014481174561704</v>
      </c>
      <c r="G35" s="116">
        <v>1946.6</v>
      </c>
      <c r="H35" s="14">
        <f t="shared" ref="H35:J35" si="33">H17</f>
        <v>90965.710287184847</v>
      </c>
      <c r="I35" s="14">
        <f t="shared" si="33"/>
        <v>148539.01722352521</v>
      </c>
      <c r="J35" s="14">
        <f t="shared" si="33"/>
        <v>6133.3047331966181</v>
      </c>
      <c r="K35" s="14">
        <f>K17</f>
        <v>39641.889162162595</v>
      </c>
      <c r="L35" s="131">
        <f t="shared" si="27"/>
        <v>21.297533668457035</v>
      </c>
      <c r="M35" s="131">
        <f t="shared" si="28"/>
        <v>36.563098395967991</v>
      </c>
      <c r="N35" s="137">
        <f>Parameters!P62</f>
        <v>239504727.51071006</v>
      </c>
      <c r="O35" s="140">
        <f>(((L35*Parameters!L62)+(M35*Parameters!M62))*Parameters!$C$24)/1000000</f>
        <v>6.9417620842643224</v>
      </c>
      <c r="P35" s="138">
        <f>(H35+I35)/Parameters!B47</f>
        <v>0.7153303157959251</v>
      </c>
      <c r="Q35" s="39">
        <f>Parameters!O62/Parameters!B62</f>
        <v>0.11839868627164686</v>
      </c>
      <c r="R35" s="113">
        <f>(IF(P35-BAU!N15 &lt; 0, 0, P35-BAU!N15))+(IF(BAU!O15-Q35 &lt; 0,  0, BAU!O15-Q35))</f>
        <v>0.49864704468618015</v>
      </c>
      <c r="S35" s="39">
        <f>R35</f>
        <v>0.49864704468618015</v>
      </c>
      <c r="T35" s="32">
        <f t="shared" si="23"/>
        <v>3.4336817086174407E-2</v>
      </c>
      <c r="U35" s="75">
        <f>T35*(S35^Parameters!$C$31)</f>
        <v>4.8930666727095258E-3</v>
      </c>
      <c r="V35" s="21">
        <f t="shared" si="19"/>
        <v>0.11839868627164686</v>
      </c>
      <c r="W35" s="21">
        <f t="shared" si="13"/>
        <v>115.54926356543997</v>
      </c>
      <c r="X35" s="20">
        <f>X34+(W35/Parameters!$C$12)</f>
        <v>1219.6708391492525</v>
      </c>
      <c r="Y35" s="23">
        <f>X35*Parameters!$C$13</f>
        <v>2.1954075104686543</v>
      </c>
      <c r="Z35" s="32">
        <f t="shared" si="20"/>
        <v>0.98861724950935626</v>
      </c>
      <c r="AA35" s="28">
        <f>((Parameters!$C$18*F35*Z35)/(D35+B35))^(1/(1-Parameters!$C$21))</f>
        <v>22.96710611644</v>
      </c>
      <c r="AB35" s="24">
        <f>(1-U35)*Z35*F35*(AA35^Parameters!$C$21)</f>
        <v>22.060668911362704</v>
      </c>
      <c r="AC35" s="23">
        <f>(1-Parameters!$C$18)*AB35</f>
        <v>19.41338864199918</v>
      </c>
      <c r="AD35" s="30">
        <f t="shared" si="21"/>
        <v>2.9659629642203411</v>
      </c>
      <c r="AE35" s="23">
        <f>1/(1+Parameters!$C$22*(A35-$A$9))</f>
        <v>0.625</v>
      </c>
      <c r="AF35" s="30">
        <f t="shared" si="14"/>
        <v>99.729541893161766</v>
      </c>
      <c r="AG35" s="30">
        <f>BAU!AF15</f>
        <v>23.187993404994479</v>
      </c>
      <c r="AH35" s="30">
        <f t="shared" si="15"/>
        <v>-60.649472253617944</v>
      </c>
      <c r="AI35" s="4"/>
      <c r="AJ35" s="4"/>
      <c r="AK35" s="4"/>
      <c r="AL35" s="1"/>
      <c r="AM35" s="1"/>
      <c r="AN35" s="1"/>
      <c r="AO35" s="1"/>
      <c r="AP35" s="1"/>
      <c r="AQ35" s="1"/>
      <c r="AR35" s="1"/>
      <c r="AS35" s="1"/>
      <c r="AT35" s="1"/>
      <c r="AU35" s="1"/>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row>
    <row r="36" spans="1:113" ht="56.25" x14ac:dyDescent="0.25">
      <c r="A36" s="3"/>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7"/>
      <c r="AD36" s="7"/>
      <c r="AE36" s="33" t="s">
        <v>78</v>
      </c>
      <c r="AF36" s="88">
        <f>SUM(AF27:AF35)</f>
        <v>886.89556348905614</v>
      </c>
      <c r="AG36" s="108"/>
      <c r="AH36" s="76"/>
      <c r="AI36" s="4"/>
      <c r="AJ36" s="4"/>
      <c r="AK36" s="4"/>
      <c r="AL36" s="1"/>
      <c r="AM36" s="1"/>
      <c r="AN36" s="1"/>
      <c r="AO36" s="1"/>
      <c r="AP36" s="1"/>
      <c r="AQ36" s="1"/>
      <c r="AR36" s="1"/>
      <c r="AS36" s="1"/>
      <c r="AT36" s="1"/>
      <c r="AU36" s="1"/>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row>
    <row r="37" spans="1:113" x14ac:dyDescent="0.25">
      <c r="A37" s="3"/>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7"/>
      <c r="AD37" s="7"/>
      <c r="AE37" s="4"/>
      <c r="AF37" s="4"/>
      <c r="AG37" s="4"/>
      <c r="AH37" s="4"/>
      <c r="AI37" s="4"/>
      <c r="AJ37" s="4"/>
      <c r="AK37" s="4"/>
      <c r="AL37" s="1"/>
      <c r="AM37" s="1"/>
      <c r="AN37" s="1"/>
      <c r="AO37" s="1"/>
      <c r="AP37" s="1"/>
      <c r="AQ37" s="1"/>
      <c r="AR37" s="1"/>
      <c r="AS37" s="1"/>
      <c r="AT37" s="1"/>
      <c r="AU37" s="1"/>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row>
    <row r="38" spans="1:113" x14ac:dyDescent="0.25">
      <c r="A38" s="3"/>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7"/>
      <c r="AD38" s="7"/>
      <c r="AE38" s="4"/>
      <c r="AF38" s="4"/>
      <c r="AG38" s="4"/>
      <c r="AH38" s="4"/>
      <c r="AI38" s="4"/>
      <c r="AJ38" s="4"/>
      <c r="AK38" s="4"/>
      <c r="AL38" s="1"/>
      <c r="AM38" s="1"/>
      <c r="AN38" s="1"/>
      <c r="AO38" s="1"/>
      <c r="AP38" s="1"/>
      <c r="AQ38" s="1"/>
      <c r="AR38" s="1"/>
      <c r="AS38" s="1"/>
      <c r="AT38" s="1"/>
      <c r="AU38" s="1"/>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row>
    <row r="39" spans="1:113" ht="18.75" x14ac:dyDescent="0.3">
      <c r="A39" s="31" t="s">
        <v>296</v>
      </c>
      <c r="E39" s="31"/>
      <c r="AI39" s="4"/>
      <c r="AJ39" s="4"/>
      <c r="AK39" s="4"/>
      <c r="AL39" s="1"/>
      <c r="AM39" s="1"/>
      <c r="AN39" s="1"/>
      <c r="AO39" s="1"/>
      <c r="AP39" s="1"/>
      <c r="AQ39" s="1"/>
      <c r="AR39" s="1"/>
      <c r="AS39" s="1"/>
      <c r="AT39" s="1"/>
      <c r="AU39" s="1"/>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row>
    <row r="40" spans="1:113" x14ac:dyDescent="0.25">
      <c r="A40" s="16" t="s">
        <v>25</v>
      </c>
      <c r="B40" s="168" t="s">
        <v>68</v>
      </c>
      <c r="C40" s="169"/>
      <c r="D40" s="169"/>
      <c r="E40" s="169"/>
      <c r="F40" s="170"/>
      <c r="G40" s="128"/>
      <c r="H40" s="165" t="s">
        <v>116</v>
      </c>
      <c r="I40" s="166"/>
      <c r="J40" s="166"/>
      <c r="K40" s="166"/>
      <c r="L40" s="166"/>
      <c r="M40" s="166"/>
      <c r="N40" s="166"/>
      <c r="O40" s="166"/>
      <c r="P40" s="166"/>
      <c r="Q40" s="166"/>
      <c r="R40" s="166"/>
      <c r="S40" s="166"/>
      <c r="T40" s="166"/>
      <c r="U40" s="166"/>
      <c r="V40" s="179" t="s">
        <v>39</v>
      </c>
      <c r="W40" s="179"/>
      <c r="X40" s="179"/>
      <c r="Y40" s="179"/>
      <c r="Z40" s="179"/>
      <c r="AA40" s="186" t="s">
        <v>79</v>
      </c>
      <c r="AB40" s="186"/>
      <c r="AC40" s="187"/>
      <c r="AD40" s="174" t="s">
        <v>40</v>
      </c>
      <c r="AE40" s="175"/>
      <c r="AF40" s="175"/>
      <c r="AG40" s="175"/>
      <c r="AH40" s="175"/>
      <c r="AI40" s="4"/>
      <c r="AJ40" s="4"/>
      <c r="AK40" s="4"/>
      <c r="AL40" s="1"/>
      <c r="AM40" s="1"/>
      <c r="AN40" s="1"/>
      <c r="AO40" s="1"/>
      <c r="AP40" s="1"/>
      <c r="AQ40" s="1"/>
      <c r="AR40" s="1"/>
      <c r="AS40" s="1"/>
      <c r="AT40" s="1"/>
      <c r="AU40" s="1"/>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row>
    <row r="41" spans="1:113" x14ac:dyDescent="0.25">
      <c r="A41" s="36"/>
      <c r="B41" s="171"/>
      <c r="C41" s="172"/>
      <c r="D41" s="172"/>
      <c r="E41" s="172"/>
      <c r="F41" s="173"/>
      <c r="G41" s="129"/>
      <c r="H41" s="162" t="s">
        <v>94</v>
      </c>
      <c r="I41" s="163"/>
      <c r="J41" s="163"/>
      <c r="K41" s="163"/>
      <c r="L41" s="190" t="s">
        <v>107</v>
      </c>
      <c r="M41" s="191"/>
      <c r="N41" s="192"/>
      <c r="O41" s="190" t="s">
        <v>99</v>
      </c>
      <c r="P41" s="191"/>
      <c r="Q41" s="191"/>
      <c r="R41" s="191"/>
      <c r="S41" s="191"/>
      <c r="T41" s="191"/>
      <c r="U41" s="191"/>
      <c r="V41" s="181"/>
      <c r="W41" s="181"/>
      <c r="X41" s="181"/>
      <c r="Y41" s="181"/>
      <c r="Z41" s="181"/>
      <c r="AA41" s="188"/>
      <c r="AB41" s="188"/>
      <c r="AC41" s="189"/>
      <c r="AD41" s="176"/>
      <c r="AE41" s="177"/>
      <c r="AF41" s="177"/>
      <c r="AG41" s="177"/>
      <c r="AH41" s="177"/>
      <c r="AI41" s="4"/>
      <c r="AJ41" s="4"/>
      <c r="AK41" s="4"/>
      <c r="AL41" s="1"/>
      <c r="AM41" s="1"/>
      <c r="AN41" s="1"/>
      <c r="AO41" s="1"/>
      <c r="AP41" s="1"/>
      <c r="AQ41" s="1"/>
      <c r="AR41" s="1"/>
      <c r="AS41" s="1"/>
      <c r="AT41" s="1"/>
      <c r="AU41" s="1"/>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row>
    <row r="42" spans="1:113" ht="69" thickBot="1" x14ac:dyDescent="0.3">
      <c r="A42" s="17" t="s">
        <v>43</v>
      </c>
      <c r="B42" s="18" t="s">
        <v>31</v>
      </c>
      <c r="C42" s="18" t="s">
        <v>59</v>
      </c>
      <c r="D42" s="18" t="s">
        <v>31</v>
      </c>
      <c r="E42" s="18" t="s">
        <v>31</v>
      </c>
      <c r="F42" s="18" t="s">
        <v>31</v>
      </c>
      <c r="G42" s="18" t="s">
        <v>250</v>
      </c>
      <c r="H42" s="34" t="s">
        <v>95</v>
      </c>
      <c r="I42" s="34" t="s">
        <v>95</v>
      </c>
      <c r="J42" s="34" t="s">
        <v>95</v>
      </c>
      <c r="K42" s="34" t="s">
        <v>95</v>
      </c>
      <c r="L42" s="34" t="s">
        <v>307</v>
      </c>
      <c r="M42" s="34" t="s">
        <v>307</v>
      </c>
      <c r="N42" s="34" t="s">
        <v>237</v>
      </c>
      <c r="O42" s="34" t="s">
        <v>322</v>
      </c>
      <c r="P42" s="34" t="s">
        <v>100</v>
      </c>
      <c r="Q42" s="34" t="s">
        <v>100</v>
      </c>
      <c r="R42" s="34" t="s">
        <v>215</v>
      </c>
      <c r="S42" s="34" t="s">
        <v>138</v>
      </c>
      <c r="T42" s="34" t="s">
        <v>122</v>
      </c>
      <c r="U42" s="34" t="s">
        <v>122</v>
      </c>
      <c r="V42" s="19" t="s">
        <v>216</v>
      </c>
      <c r="W42" s="19" t="s">
        <v>130</v>
      </c>
      <c r="X42" s="19" t="s">
        <v>31</v>
      </c>
      <c r="Y42" s="19" t="s">
        <v>49</v>
      </c>
      <c r="Z42" s="19" t="s">
        <v>48</v>
      </c>
      <c r="AA42" s="29" t="s">
        <v>233</v>
      </c>
      <c r="AB42" s="29" t="s">
        <v>233</v>
      </c>
      <c r="AC42" s="29" t="s">
        <v>233</v>
      </c>
      <c r="AD42" s="26" t="s">
        <v>19</v>
      </c>
      <c r="AE42" s="26" t="s">
        <v>4</v>
      </c>
      <c r="AF42" s="26" t="s">
        <v>4</v>
      </c>
      <c r="AG42" s="26" t="s">
        <v>234</v>
      </c>
      <c r="AH42" s="26" t="s">
        <v>232</v>
      </c>
      <c r="AI42" s="4"/>
      <c r="AJ42" s="4"/>
      <c r="AK42" s="4"/>
      <c r="AL42" s="1"/>
      <c r="AM42" s="1"/>
      <c r="AN42" s="1"/>
      <c r="AO42" s="1"/>
      <c r="AP42" s="1"/>
      <c r="AQ42" s="1"/>
      <c r="AR42" s="1"/>
      <c r="AS42" s="1"/>
      <c r="AT42" s="1"/>
      <c r="AU42" s="1"/>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row>
    <row r="43" spans="1:113" ht="63.75" x14ac:dyDescent="0.25">
      <c r="A43" s="10" t="s">
        <v>0</v>
      </c>
      <c r="B43" s="11" t="s">
        <v>50</v>
      </c>
      <c r="C43" s="11" t="s">
        <v>11</v>
      </c>
      <c r="D43" s="11" t="s">
        <v>133</v>
      </c>
      <c r="E43" s="11" t="s">
        <v>60</v>
      </c>
      <c r="F43" s="11" t="s">
        <v>61</v>
      </c>
      <c r="G43" s="11" t="s">
        <v>251</v>
      </c>
      <c r="H43" s="11" t="s">
        <v>96</v>
      </c>
      <c r="I43" s="11" t="s">
        <v>97</v>
      </c>
      <c r="J43" s="11" t="s">
        <v>98</v>
      </c>
      <c r="K43" s="11" t="s">
        <v>101</v>
      </c>
      <c r="L43" s="11" t="s">
        <v>299</v>
      </c>
      <c r="M43" s="11" t="s">
        <v>314</v>
      </c>
      <c r="N43" s="109" t="s">
        <v>236</v>
      </c>
      <c r="O43" s="135" t="s">
        <v>239</v>
      </c>
      <c r="P43" s="11" t="s">
        <v>104</v>
      </c>
      <c r="Q43" s="11" t="s">
        <v>212</v>
      </c>
      <c r="R43" s="11" t="s">
        <v>214</v>
      </c>
      <c r="S43" s="11" t="s">
        <v>126</v>
      </c>
      <c r="T43" s="11" t="s">
        <v>125</v>
      </c>
      <c r="U43" s="11" t="s">
        <v>137</v>
      </c>
      <c r="V43" s="11" t="s">
        <v>136</v>
      </c>
      <c r="W43" s="11" t="s">
        <v>217</v>
      </c>
      <c r="X43" s="11" t="s">
        <v>88</v>
      </c>
      <c r="Y43" s="11" t="s">
        <v>14</v>
      </c>
      <c r="Z43" s="11" t="s">
        <v>15</v>
      </c>
      <c r="AA43" s="11" t="s">
        <v>45</v>
      </c>
      <c r="AB43" s="11" t="s">
        <v>82</v>
      </c>
      <c r="AC43" s="11" t="s">
        <v>83</v>
      </c>
      <c r="AD43" s="11" t="s">
        <v>26</v>
      </c>
      <c r="AE43" s="11" t="s">
        <v>16</v>
      </c>
      <c r="AF43" s="11" t="s">
        <v>17</v>
      </c>
      <c r="AG43" s="11" t="s">
        <v>227</v>
      </c>
      <c r="AH43" s="11" t="s">
        <v>141</v>
      </c>
      <c r="AI43" s="4"/>
      <c r="AJ43" s="4"/>
      <c r="AK43" s="4"/>
      <c r="AL43" s="1"/>
      <c r="AM43" s="1"/>
      <c r="AN43" s="1"/>
      <c r="AO43" s="1"/>
      <c r="AP43" s="1"/>
      <c r="AQ43" s="1"/>
      <c r="AR43" s="1"/>
      <c r="AS43" s="1"/>
      <c r="AT43" s="1"/>
      <c r="AU43" s="1"/>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row>
    <row r="44" spans="1:113" x14ac:dyDescent="0.25">
      <c r="A44" s="10" t="s">
        <v>9</v>
      </c>
      <c r="B44" s="11" t="s">
        <v>51</v>
      </c>
      <c r="C44" s="11" t="s">
        <v>10</v>
      </c>
      <c r="D44" s="11" t="s">
        <v>134</v>
      </c>
      <c r="E44" s="11" t="s">
        <v>33</v>
      </c>
      <c r="F44" s="11" t="s">
        <v>30</v>
      </c>
      <c r="G44" s="11" t="s">
        <v>129</v>
      </c>
      <c r="H44" s="11" t="s">
        <v>84</v>
      </c>
      <c r="I44" s="11" t="s">
        <v>85</v>
      </c>
      <c r="J44" s="11" t="s">
        <v>86</v>
      </c>
      <c r="K44" s="11" t="s">
        <v>106</v>
      </c>
      <c r="L44" s="11" t="s">
        <v>89</v>
      </c>
      <c r="M44" s="11" t="s">
        <v>90</v>
      </c>
      <c r="N44" s="11" t="s">
        <v>235</v>
      </c>
      <c r="O44" s="136" t="s">
        <v>121</v>
      </c>
      <c r="P44" s="11" t="s">
        <v>105</v>
      </c>
      <c r="Q44" s="11" t="s">
        <v>213</v>
      </c>
      <c r="R44" s="11" t="s">
        <v>115</v>
      </c>
      <c r="S44" s="11" t="s">
        <v>127</v>
      </c>
      <c r="T44" s="11" t="s">
        <v>87</v>
      </c>
      <c r="U44" s="11" t="s">
        <v>119</v>
      </c>
      <c r="V44" s="11" t="s">
        <v>128</v>
      </c>
      <c r="W44" s="11" t="s">
        <v>62</v>
      </c>
      <c r="X44" s="11" t="s">
        <v>24</v>
      </c>
      <c r="Y44" s="11" t="s">
        <v>135</v>
      </c>
      <c r="Z44" s="11" t="s">
        <v>23</v>
      </c>
      <c r="AA44" s="11" t="s">
        <v>44</v>
      </c>
      <c r="AB44" s="11" t="s">
        <v>47</v>
      </c>
      <c r="AC44" s="11" t="s">
        <v>13</v>
      </c>
      <c r="AD44" s="11" t="s">
        <v>18</v>
      </c>
      <c r="AE44" s="11" t="s">
        <v>20</v>
      </c>
      <c r="AF44" s="11" t="s">
        <v>21</v>
      </c>
      <c r="AG44" s="11" t="s">
        <v>228</v>
      </c>
      <c r="AH44" s="11" t="s">
        <v>142</v>
      </c>
      <c r="AI44" s="4"/>
      <c r="AJ44" s="4"/>
      <c r="AK44" s="4"/>
      <c r="AL44" s="1"/>
      <c r="AM44" s="1"/>
      <c r="AN44" s="1"/>
      <c r="AO44" s="1"/>
      <c r="AP44" s="1"/>
      <c r="AQ44" s="1"/>
      <c r="AR44" s="1"/>
      <c r="AS44" s="1"/>
      <c r="AT44" s="1"/>
      <c r="AU44" s="1"/>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row>
    <row r="45" spans="1:113" x14ac:dyDescent="0.25">
      <c r="A45" s="22">
        <v>2010</v>
      </c>
      <c r="B45" s="28">
        <f>Parameters!$C$3</f>
        <v>2.3E-2</v>
      </c>
      <c r="C45" s="28">
        <f>Parameters!$C$5</f>
        <v>46.486621</v>
      </c>
      <c r="D45" s="70">
        <f>Parameters!$C$19</f>
        <v>0.1</v>
      </c>
      <c r="E45" s="21">
        <f>Parameters!$C$7</f>
        <v>7.9000000000000001E-2</v>
      </c>
      <c r="F45" s="24">
        <f>Parameters!$C$6</f>
        <v>3.8</v>
      </c>
      <c r="G45" s="116">
        <f>11614/10</f>
        <v>1161.4000000000001</v>
      </c>
      <c r="H45" s="14">
        <f>H27</f>
        <v>5559.3172086930372</v>
      </c>
      <c r="I45" s="14">
        <f t="shared" ref="I45:K45" si="34">I27</f>
        <v>30473.280877728444</v>
      </c>
      <c r="J45" s="14">
        <f t="shared" si="34"/>
        <v>47720.347945502341</v>
      </c>
      <c r="K45" s="14">
        <f t="shared" si="34"/>
        <v>166313.54618313035</v>
      </c>
      <c r="L45" s="131">
        <f>L46*(1+0.075)</f>
        <v>81.47156249999999</v>
      </c>
      <c r="M45" s="131">
        <f>M46*(1+0.06)</f>
        <v>100.5622</v>
      </c>
      <c r="N45" s="137">
        <f>Parameters!P54</f>
        <v>36032598.086421482</v>
      </c>
      <c r="O45" s="139">
        <f>(((L45*Parameters!L54)+(M45*Parameters!M54))*Parameters!$C$24)/1000000</f>
        <v>3.3137297516591904</v>
      </c>
      <c r="P45" s="138">
        <f>(H45+I45)/Parameters!B39</f>
        <v>0.12078505660505993</v>
      </c>
      <c r="Q45" s="39">
        <f>Parameters!O54/Parameters!B54</f>
        <v>0.55750049002122004</v>
      </c>
      <c r="R45" s="113">
        <f>(IF(P45-BAU!N7 &lt; 0, 0, P45-BAU!N7))+(IF(BAU!O7-Q45 &lt; 0,  0, BAU!O7-Q45))</f>
        <v>8.4784719799987918E-5</v>
      </c>
      <c r="S45" s="39">
        <f>R45</f>
        <v>8.4784719799987918E-5</v>
      </c>
      <c r="T45" s="32">
        <f>Parameters!$C$30</f>
        <v>0.06</v>
      </c>
      <c r="U45" s="75">
        <f>T45*(S45^Parameters!$C$31)</f>
        <v>2.3847370562931092E-13</v>
      </c>
      <c r="V45" s="21">
        <f>Q45</f>
        <v>0.55750049002122004</v>
      </c>
      <c r="W45" s="21">
        <f t="shared" ref="W45:W53" si="35">(1-S45)*V45*G45</f>
        <v>647.4261726096247</v>
      </c>
      <c r="X45" s="20">
        <f>Parameters!$C$11</f>
        <v>530</v>
      </c>
      <c r="Y45" s="23">
        <f>X45*Parameters!$C$13</f>
        <v>0.95399999999999996</v>
      </c>
      <c r="Z45" s="32">
        <f>1/(1+((Y45/20.46)^2)+((Y45/6081)^6754))</f>
        <v>0.99783058667694802</v>
      </c>
      <c r="AA45" s="28">
        <f>((Parameters!$C$18*F45*Z45)/(D45+B45))^(1/(1-Parameters!$C$21))</f>
        <v>8.8483217392581075</v>
      </c>
      <c r="AB45" s="24">
        <f>(1-U45)*Z45*F45*(AA45^Parameters!$C$21)</f>
        <v>9.0695297827373995</v>
      </c>
      <c r="AC45" s="23">
        <f>(1-Parameters!$C$18)*AB45</f>
        <v>7.9811862088089116</v>
      </c>
      <c r="AD45" s="30">
        <f>LN(AC45)</f>
        <v>2.0770870481351547</v>
      </c>
      <c r="AE45" s="23">
        <f>1/(1+Parameters!$C$22*(A45-$A$9))</f>
        <v>1</v>
      </c>
      <c r="AF45" s="30">
        <f t="shared" ref="AF45:AF53" si="36">C45*AD45*AE45</f>
        <v>96.556758390667696</v>
      </c>
      <c r="AG45" s="30">
        <f>BAU!AF7</f>
        <v>9.1024174870568153</v>
      </c>
      <c r="AH45" s="30">
        <f t="shared" ref="AH45:AH53" si="37">(AB45-AG45)*C45</f>
        <v>-1.5288382462567447</v>
      </c>
      <c r="AI45" s="4"/>
      <c r="AJ45" s="4"/>
      <c r="AK45" s="4"/>
      <c r="AL45" s="1"/>
      <c r="AM45" s="1"/>
      <c r="AN45" s="1"/>
      <c r="AO45" s="1"/>
      <c r="AP45" s="1"/>
      <c r="AQ45" s="1"/>
      <c r="AR45" s="1"/>
      <c r="AS45" s="1"/>
      <c r="AT45" s="1"/>
      <c r="AU45" s="1"/>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row>
    <row r="46" spans="1:113" x14ac:dyDescent="0.25">
      <c r="A46" s="22">
        <v>2015</v>
      </c>
      <c r="B46" s="27">
        <f>B45/(1+Parameters!$C$4)</f>
        <v>2.1863117870722433E-2</v>
      </c>
      <c r="C46" s="28">
        <f t="shared" ref="C46:C48" si="38">C45*(1+B46)</f>
        <v>47.502963474334599</v>
      </c>
      <c r="D46" s="70">
        <f>Parameters!$C$19+(Parameters!$C$20*R46)</f>
        <v>0.10001390376979419</v>
      </c>
      <c r="E46" s="25">
        <f>($E$9/((1+Parameters!$C$8)^(A46-$A$9)))-Parameters!$C$9*Y46</f>
        <v>7.541800853720422E-2</v>
      </c>
      <c r="F46" s="24">
        <f>F45*(1+E46)</f>
        <v>4.0865884324413759</v>
      </c>
      <c r="G46" s="116">
        <v>1221.3</v>
      </c>
      <c r="H46" s="14">
        <f t="shared" ref="H46:K46" si="39">H28</f>
        <v>8406.2977035764925</v>
      </c>
      <c r="I46" s="14">
        <f t="shared" si="39"/>
        <v>43620.965196725607</v>
      </c>
      <c r="J46" s="14">
        <f t="shared" si="39"/>
        <v>37889.206829909628</v>
      </c>
      <c r="K46" s="14">
        <f t="shared" si="39"/>
        <v>141517.96380639906</v>
      </c>
      <c r="L46" s="131">
        <f>L47*(1+0.075)</f>
        <v>75.787499999999994</v>
      </c>
      <c r="M46" s="131">
        <f>M47*(1+0.06)</f>
        <v>94.87</v>
      </c>
      <c r="N46" s="137">
        <f>Parameters!P55</f>
        <v>52027262.900302097</v>
      </c>
      <c r="O46" s="139">
        <f>(((L46*Parameters!L55)+(M46*Parameters!M55))*Parameters!$C$24)/1000000</f>
        <v>4.4989168279341607</v>
      </c>
      <c r="P46" s="138">
        <f>(H46+I46)/Parameters!B40</f>
        <v>0.1865892773006082</v>
      </c>
      <c r="Q46" s="39">
        <f>Parameters!O55/Parameters!B55</f>
        <v>0.50753649374732535</v>
      </c>
      <c r="R46" s="113">
        <f>(IF(P46-BAU!N8 &lt; 0, 0, P46-BAU!N8))+(IF(BAU!O8-Q46 &lt; 0,  0, BAU!O8-Q46))</f>
        <v>1.3903769794187754E-2</v>
      </c>
      <c r="S46" s="39">
        <f t="shared" ref="S46:S53" si="40">R46</f>
        <v>1.3903769794187754E-2</v>
      </c>
      <c r="T46" s="32">
        <f t="shared" ref="T46:T53" si="41">T45*(1+(-E46))</f>
        <v>5.547491948776774E-2</v>
      </c>
      <c r="U46" s="75">
        <f>T46*(S46^Parameters!$C$31)</f>
        <v>3.5064517920997509E-7</v>
      </c>
      <c r="V46" s="21">
        <f t="shared" ref="V46:V52" si="42">Q46</f>
        <v>0.50753649374732535</v>
      </c>
      <c r="W46" s="21">
        <f t="shared" si="35"/>
        <v>611.2360080449871</v>
      </c>
      <c r="X46" s="20">
        <f>X45+(W46/Parameters!$C$12)</f>
        <v>696.70072946681466</v>
      </c>
      <c r="Y46" s="23">
        <f>X46*Parameters!$C$13</f>
        <v>1.2540613130402665</v>
      </c>
      <c r="Z46" s="32">
        <f t="shared" ref="Z46:Z53" si="43">1/(1+((Y46/20.46)^2)+((Y46/6081)^6754))</f>
        <v>0.99625719026155024</v>
      </c>
      <c r="AA46" s="28">
        <f>((Parameters!$C$18*F46*Z46)/(D46+B46))^(1/(1-Parameters!$C$21))</f>
        <v>10.115475579960291</v>
      </c>
      <c r="AB46" s="24">
        <f>(1-U46)*Z46*F46*(AA46^Parameters!$C$21)</f>
        <v>10.27369669893433</v>
      </c>
      <c r="AC46" s="23">
        <f>(1-Parameters!$C$18)*AB46</f>
        <v>9.0408530950622108</v>
      </c>
      <c r="AD46" s="30">
        <f t="shared" ref="AD46:AD53" si="44">LN(AC46)</f>
        <v>2.2017535388744296</v>
      </c>
      <c r="AE46" s="23">
        <f>1/(1+Parameters!$C$22*(A46-$A$9))</f>
        <v>0.93023255813953487</v>
      </c>
      <c r="AF46" s="30">
        <f t="shared" si="36"/>
        <v>97.292853894547889</v>
      </c>
      <c r="AG46" s="30">
        <f>BAU!AF8</f>
        <v>10.358997143018955</v>
      </c>
      <c r="AH46" s="30">
        <f t="shared" si="37"/>
        <v>-4.0520238796964732</v>
      </c>
      <c r="AI46" s="4"/>
      <c r="AJ46" s="4"/>
      <c r="AK46" s="4"/>
      <c r="AL46" s="1"/>
      <c r="AM46" s="1"/>
      <c r="AN46" s="1"/>
      <c r="AO46" s="1"/>
      <c r="AP46" s="1"/>
      <c r="AQ46" s="1"/>
      <c r="AR46" s="1"/>
      <c r="AS46" s="1"/>
      <c r="AT46" s="1"/>
      <c r="AU46" s="1"/>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row>
    <row r="47" spans="1:113" x14ac:dyDescent="0.25">
      <c r="A47" s="22">
        <v>2020</v>
      </c>
      <c r="B47" s="27">
        <f>B46/(1+Parameters!$C$4)</f>
        <v>2.0782431436047938E-2</v>
      </c>
      <c r="C47" s="28">
        <f t="shared" si="38"/>
        <v>48.490190555749045</v>
      </c>
      <c r="D47" s="70">
        <f>Parameters!$C$19+(Parameters!$C$20*R47)</f>
        <v>0.10004202165269881</v>
      </c>
      <c r="E47" s="25">
        <f>($E$9/((1+Parameters!$C$8)^(A47-$A$9)))-Parameters!$C$9*Y47</f>
        <v>7.292269623756871E-2</v>
      </c>
      <c r="F47" s="24">
        <f>F46*(1+E47)</f>
        <v>4.3845934793482604</v>
      </c>
      <c r="G47" s="116">
        <v>1227.2</v>
      </c>
      <c r="H47" s="14">
        <f t="shared" ref="H47:K47" si="45">H29</f>
        <v>13748.398137477629</v>
      </c>
      <c r="I47" s="14">
        <f t="shared" si="45"/>
        <v>59277.541479991487</v>
      </c>
      <c r="J47" s="14">
        <f t="shared" si="45"/>
        <v>29881.531838158284</v>
      </c>
      <c r="K47" s="14">
        <f t="shared" si="45"/>
        <v>100767.29344666607</v>
      </c>
      <c r="L47" s="132">
        <f>Parameters!D114</f>
        <v>70.5</v>
      </c>
      <c r="M47" s="132">
        <f>Parameters!D116</f>
        <v>89.5</v>
      </c>
      <c r="N47" s="137">
        <f>Parameters!P56</f>
        <v>73025939.617469117</v>
      </c>
      <c r="O47" s="139">
        <f>(((L47*Parameters!L56)+(M47*Parameters!M56))*Parameters!$C$24)/1000000</f>
        <v>5.9113025735477454</v>
      </c>
      <c r="P47" s="138">
        <f>(H47+I47)/Parameters!B41</f>
        <v>0.29632023482072567</v>
      </c>
      <c r="Q47" s="39">
        <f>Parameters!O56/Parameters!B56</f>
        <v>0.40888742017942015</v>
      </c>
      <c r="R47" s="113">
        <f>(IF(P47-BAU!N9 &lt; 0, 0, P47-BAU!N9))+(IF(BAU!O9-Q47 &lt; 0,  0, BAU!O9-Q47))</f>
        <v>4.2021652698800704E-2</v>
      </c>
      <c r="S47" s="39">
        <f t="shared" si="40"/>
        <v>4.2021652698800704E-2</v>
      </c>
      <c r="T47" s="32">
        <f t="shared" si="41"/>
        <v>5.1429538785157672E-2</v>
      </c>
      <c r="U47" s="75">
        <f>T47*(S47^Parameters!$C$31)</f>
        <v>7.1934526794887971E-6</v>
      </c>
      <c r="V47" s="21">
        <f t="shared" si="42"/>
        <v>0.40888742017942015</v>
      </c>
      <c r="W47" s="21">
        <f t="shared" si="35"/>
        <v>480.70073804330633</v>
      </c>
      <c r="X47" s="20">
        <f>X46+(W47/Parameters!$C$12)</f>
        <v>827.80093075135278</v>
      </c>
      <c r="Y47" s="23">
        <f>X47*Parameters!$C$13</f>
        <v>1.490041675352435</v>
      </c>
      <c r="Z47" s="32">
        <f t="shared" si="43"/>
        <v>0.99472420081694668</v>
      </c>
      <c r="AA47" s="28">
        <f>((Parameters!$C$18*F47*Z47)/(D47+B47))^(1/(1-Parameters!$C$21))</f>
        <v>11.510584472736785</v>
      </c>
      <c r="AB47" s="24">
        <f>(1-U47)*Z47*F47*(AA47^Parameters!$C$21)</f>
        <v>11.589583910695538</v>
      </c>
      <c r="AC47" s="23">
        <f>(1-Parameters!$C$18)*AB47</f>
        <v>10.198833841412073</v>
      </c>
      <c r="AD47" s="30">
        <f t="shared" si="44"/>
        <v>2.3222733844808094</v>
      </c>
      <c r="AE47" s="23">
        <f>1/(1+Parameters!$C$22*(A47-$A$9))</f>
        <v>0.86956521739130443</v>
      </c>
      <c r="AF47" s="30">
        <f t="shared" si="36"/>
        <v>97.919546900885862</v>
      </c>
      <c r="AG47" s="30">
        <f>BAU!AF9</f>
        <v>11.74488149448006</v>
      </c>
      <c r="AH47" s="30">
        <f t="shared" si="37"/>
        <v>-7.530409430558878</v>
      </c>
      <c r="AI47" s="4"/>
      <c r="AJ47" s="4"/>
      <c r="AK47" s="4"/>
      <c r="AL47" s="1"/>
      <c r="AM47" s="1"/>
      <c r="AN47" s="1"/>
      <c r="AO47" s="1"/>
      <c r="AP47" s="1"/>
      <c r="AQ47" s="1"/>
      <c r="AR47" s="1"/>
      <c r="AS47" s="1"/>
      <c r="AT47" s="1"/>
      <c r="AU47" s="1"/>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row>
    <row r="48" spans="1:113" x14ac:dyDescent="0.25">
      <c r="A48" s="22">
        <v>2025</v>
      </c>
      <c r="B48" s="27">
        <f>B47/(1+Parameters!$C$4)</f>
        <v>1.9755162962022753E-2</v>
      </c>
      <c r="C48" s="28">
        <f t="shared" si="38"/>
        <v>49.448122172237404</v>
      </c>
      <c r="D48" s="70">
        <f>Parameters!$C$19+(Parameters!$C$20*R48)</f>
        <v>0.1000977791334061</v>
      </c>
      <c r="E48" s="25">
        <f>($E$9/((1+Parameters!$C$8)^(A48-$A$9)))-Parameters!$C$9*Y48</f>
        <v>7.0505916920800202E-2</v>
      </c>
      <c r="F48" s="24">
        <f>F47*(1+E48)</f>
        <v>4.6937332629346713</v>
      </c>
      <c r="G48" s="116">
        <v>1401.8</v>
      </c>
      <c r="H48" s="14">
        <f t="shared" ref="H48:K48" si="46">H30</f>
        <v>23575.277537099944</v>
      </c>
      <c r="I48" s="14">
        <f t="shared" si="46"/>
        <v>79031.280607138498</v>
      </c>
      <c r="J48" s="14">
        <f t="shared" si="46"/>
        <v>27272.361473606685</v>
      </c>
      <c r="K48" s="14">
        <f t="shared" si="46"/>
        <v>100966.50990071571</v>
      </c>
      <c r="L48" s="131">
        <f>L47*(1-0.075)</f>
        <v>65.212500000000006</v>
      </c>
      <c r="M48" s="131">
        <f>M47*(1-0.06)</f>
        <v>84.13</v>
      </c>
      <c r="N48" s="137">
        <f>Parameters!P57</f>
        <v>102606558.14423844</v>
      </c>
      <c r="O48" s="139">
        <f>(((L48*Parameters!L57)+(M48*Parameters!M57))*Parameters!$C$24)/1000000</f>
        <v>7.7123173977248101</v>
      </c>
      <c r="P48" s="138">
        <f>(H48+I48)/Parameters!B42</f>
        <v>0.3666845964696584</v>
      </c>
      <c r="Q48" s="39">
        <f>Parameters!O57/Parameters!B57</f>
        <v>0.36082356342027461</v>
      </c>
      <c r="R48" s="113">
        <f>(IF(P48-BAU!N10 &lt; 0, 0, P48-BAU!N10))+(IF(BAU!O10-Q48 &lt; 0,  0, BAU!O10-Q48))</f>
        <v>9.7779133406092844E-2</v>
      </c>
      <c r="S48" s="39">
        <f t="shared" si="40"/>
        <v>9.7779133406092844E-2</v>
      </c>
      <c r="T48" s="32">
        <f t="shared" si="41"/>
        <v>4.7803451996296271E-2</v>
      </c>
      <c r="U48" s="75">
        <f>T48*(S48^Parameters!$C$31)</f>
        <v>7.1145686452763715E-5</v>
      </c>
      <c r="V48" s="21">
        <f t="shared" si="42"/>
        <v>0.36082356342027461</v>
      </c>
      <c r="W48" s="21">
        <f t="shared" si="35"/>
        <v>456.34554389369623</v>
      </c>
      <c r="X48" s="20">
        <f>X47+(W48/Parameters!$C$12)</f>
        <v>952.25880635872454</v>
      </c>
      <c r="Y48" s="23">
        <f>X48*Parameters!$C$13</f>
        <v>1.7140658514457041</v>
      </c>
      <c r="Z48" s="32">
        <f t="shared" si="43"/>
        <v>0.99303042490954285</v>
      </c>
      <c r="AA48" s="28">
        <f>((Parameters!$C$18*F48*Z48)/(D48+B48))^(1/(1-Parameters!$C$21))</f>
        <v>13.032343309959112</v>
      </c>
      <c r="AB48" s="24">
        <f>(1-U48)*Z48*F48*(AA48^Parameters!$C$21)</f>
        <v>13.015446342052746</v>
      </c>
      <c r="AC48" s="23">
        <f>(1-Parameters!$C$18)*AB48</f>
        <v>11.453592781006417</v>
      </c>
      <c r="AD48" s="30">
        <f t="shared" si="44"/>
        <v>2.4383034607821603</v>
      </c>
      <c r="AE48" s="23">
        <f>1/(1+Parameters!$C$22*(A48-$A$9))</f>
        <v>0.81632653061224481</v>
      </c>
      <c r="AF48" s="30">
        <f t="shared" si="36"/>
        <v>98.424104017751446</v>
      </c>
      <c r="AG48" s="30">
        <f>BAU!AF10</f>
        <v>13.267674708883096</v>
      </c>
      <c r="AH48" s="30">
        <f t="shared" si="37"/>
        <v>-12.472219098331047</v>
      </c>
      <c r="AI48" s="4"/>
      <c r="AJ48" s="4"/>
      <c r="AK48" s="4"/>
      <c r="AL48" s="1"/>
      <c r="AM48" s="1"/>
      <c r="AN48" s="1"/>
      <c r="AO48" s="1"/>
      <c r="AP48" s="1"/>
      <c r="AQ48" s="1"/>
      <c r="AR48" s="1"/>
      <c r="AS48" s="1"/>
      <c r="AT48" s="1"/>
      <c r="AU48" s="1"/>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row>
    <row r="49" spans="1:113" x14ac:dyDescent="0.25">
      <c r="A49" s="22">
        <v>2030</v>
      </c>
      <c r="B49" s="27">
        <f>B48/(1+Parameters!$C$4)</f>
        <v>1.8778672017131893E-2</v>
      </c>
      <c r="C49" s="28">
        <f>C48*(1+B49)</f>
        <v>50.376692240372918</v>
      </c>
      <c r="D49" s="70">
        <f>Parameters!$C$19+(Parameters!$C$20*R49)</f>
        <v>0.10022641139347668</v>
      </c>
      <c r="E49" s="25">
        <f>($E$9/((1+Parameters!$C$8)^(A49-$A$9)))-Parameters!$C$9*Y49</f>
        <v>6.8223104493647102E-2</v>
      </c>
      <c r="F49" s="24">
        <f t="shared" ref="F49:F52" si="47">F48*(1+E49)</f>
        <v>5.0139543177971708</v>
      </c>
      <c r="G49" s="116">
        <v>1481.4</v>
      </c>
      <c r="H49" s="14">
        <f t="shared" ref="H49:K49" si="48">H31</f>
        <v>43722.485301554501</v>
      </c>
      <c r="I49" s="14">
        <f t="shared" si="48"/>
        <v>105193.26992963694</v>
      </c>
      <c r="J49" s="14">
        <f t="shared" si="48"/>
        <v>20043.307146330913</v>
      </c>
      <c r="K49" s="14">
        <f t="shared" si="48"/>
        <v>81509.837198496054</v>
      </c>
      <c r="L49" s="131">
        <f t="shared" ref="L49:L52" si="49">L48*(1-0.075)</f>
        <v>60.321562500000006</v>
      </c>
      <c r="M49" s="131">
        <f t="shared" ref="M49:M53" si="50">M48*(1-0.06)</f>
        <v>79.082199999999986</v>
      </c>
      <c r="N49" s="137">
        <f>Parameters!P58</f>
        <v>148915755.23119143</v>
      </c>
      <c r="O49" s="139">
        <f>(((L49*Parameters!L58)+(M49*Parameters!M58))*Parameters!$C$24)/1000000</f>
        <v>10.321952690608535</v>
      </c>
      <c r="P49" s="138">
        <f>(H49+I49)/Parameters!B43</f>
        <v>0.5022957451484964</v>
      </c>
      <c r="Q49" s="39">
        <f>Parameters!O58/Parameters!B58</f>
        <v>0.27493426970832441</v>
      </c>
      <c r="R49" s="113">
        <f>(IF(P49-BAU!N11 &lt; 0, 0, P49-BAU!N11))+(IF(BAU!O11-Q49 &lt; 0,  0, BAU!O11-Q49))</f>
        <v>0.2264113934766811</v>
      </c>
      <c r="S49" s="39">
        <f t="shared" si="40"/>
        <v>0.2264113934766811</v>
      </c>
      <c r="T49" s="32">
        <f t="shared" si="41"/>
        <v>4.4542152095595908E-2</v>
      </c>
      <c r="U49" s="75">
        <f>T49*(S49^Parameters!$C$31)</f>
        <v>6.9580312341208572E-4</v>
      </c>
      <c r="V49" s="21">
        <f t="shared" si="42"/>
        <v>0.27493426970832441</v>
      </c>
      <c r="W49" s="21">
        <f t="shared" si="35"/>
        <v>315.07306793799495</v>
      </c>
      <c r="X49" s="20">
        <f>X48+(W49/Parameters!$C$12)</f>
        <v>1038.1878248872686</v>
      </c>
      <c r="Y49" s="23">
        <f>X49*Parameters!$C$13</f>
        <v>1.8687380847970834</v>
      </c>
      <c r="Z49" s="32">
        <f t="shared" si="43"/>
        <v>0.99172672177259391</v>
      </c>
      <c r="AA49" s="28">
        <f>((Parameters!$C$18*F49*Z49)/(D49+B49))^(1/(1-Parameters!$C$21))</f>
        <v>14.688593151383383</v>
      </c>
      <c r="AB49" s="24">
        <f>(1-U49)*Z49*F49*(AA49^Parameters!$C$21)</f>
        <v>14.556674810836194</v>
      </c>
      <c r="AC49" s="23">
        <f>(1-Parameters!$C$18)*AB49</f>
        <v>12.809873833535852</v>
      </c>
      <c r="AD49" s="30">
        <f t="shared" si="44"/>
        <v>2.5502162667997075</v>
      </c>
      <c r="AE49" s="23">
        <f>1/(1+Parameters!$C$22*(A49-$A$9))</f>
        <v>0.76923076923076916</v>
      </c>
      <c r="AF49" s="30">
        <f t="shared" si="36"/>
        <v>98.824200014585841</v>
      </c>
      <c r="AG49" s="30">
        <f>BAU!AF11</f>
        <v>14.934834851616968</v>
      </c>
      <c r="AH49" s="30">
        <f t="shared" si="37"/>
        <v>-19.050451992019909</v>
      </c>
      <c r="AI49" s="4"/>
      <c r="AJ49" s="4"/>
      <c r="AK49" s="4"/>
      <c r="AL49" s="1"/>
      <c r="AM49" s="1"/>
      <c r="AN49" s="1"/>
      <c r="AO49" s="1"/>
      <c r="AP49" s="1"/>
      <c r="AQ49" s="1"/>
      <c r="AR49" s="1"/>
      <c r="AS49" s="1"/>
      <c r="AT49" s="1"/>
      <c r="AU49" s="1"/>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row>
    <row r="50" spans="1:113" x14ac:dyDescent="0.25">
      <c r="A50" s="22">
        <v>2035</v>
      </c>
      <c r="B50" s="27">
        <f>B49/(1+Parameters!$C$4)</f>
        <v>1.7850448685486589E-2</v>
      </c>
      <c r="C50" s="28">
        <f t="shared" ref="C50:C53" si="51">C49*(1+B50)</f>
        <v>51.27593880015425</v>
      </c>
      <c r="D50" s="70">
        <f>Parameters!$C$19+(Parameters!$C$20*R50)</f>
        <v>0.10031737334112974</v>
      </c>
      <c r="E50" s="25">
        <f>($E$9/((1+Parameters!$C$8)^(A50-$A$9)))-Parameters!$C$9*Y50</f>
        <v>6.6041526531316549E-2</v>
      </c>
      <c r="F50" s="24">
        <f t="shared" si="47"/>
        <v>5.3450835149027816</v>
      </c>
      <c r="G50" s="116">
        <v>1574.3</v>
      </c>
      <c r="H50" s="14">
        <f t="shared" ref="H50:K50" si="52">H32</f>
        <v>56901.485786933714</v>
      </c>
      <c r="I50" s="14">
        <f t="shared" si="52"/>
        <v>118459.12846488837</v>
      </c>
      <c r="J50" s="14">
        <f t="shared" si="52"/>
        <v>15560.399481870791</v>
      </c>
      <c r="K50" s="14">
        <f t="shared" si="52"/>
        <v>67714.283811454661</v>
      </c>
      <c r="L50" s="131">
        <f t="shared" si="49"/>
        <v>55.79744531250001</v>
      </c>
      <c r="M50" s="131">
        <f t="shared" si="50"/>
        <v>74.33726799999998</v>
      </c>
      <c r="N50" s="137">
        <f>Parameters!P59</f>
        <v>175360614.25182208</v>
      </c>
      <c r="O50" s="139">
        <f>(((L50*Parameters!L59)+(M50*Parameters!M59))*Parameters!$C$24)/1000000</f>
        <v>11.287192249463416</v>
      </c>
      <c r="P50" s="138">
        <f>(H50+I50)/Parameters!B44</f>
        <v>0.57015668210272508</v>
      </c>
      <c r="Q50" s="39">
        <f>Parameters!O59/Parameters!B59</f>
        <v>0.22016204467360953</v>
      </c>
      <c r="R50" s="113">
        <f>(IF(P50-BAU!N12 &lt; 0, 0, P50-BAU!N12))+(IF(BAU!O12-Q50 &lt; 0,  0, BAU!O12-Q50))</f>
        <v>0.31737334112972593</v>
      </c>
      <c r="S50" s="39">
        <f t="shared" si="40"/>
        <v>0.31737334112972593</v>
      </c>
      <c r="T50" s="32">
        <f t="shared" si="41"/>
        <v>4.1600520376212674E-2</v>
      </c>
      <c r="U50" s="75">
        <f>T50*(S50^Parameters!$C$31)</f>
        <v>1.6730002508499324E-3</v>
      </c>
      <c r="V50" s="21">
        <f t="shared" si="42"/>
        <v>0.22016204467360953</v>
      </c>
      <c r="W50" s="21">
        <f t="shared" si="35"/>
        <v>236.59915558413479</v>
      </c>
      <c r="X50" s="20">
        <f>X49+(W50/Parameters!$C$12)</f>
        <v>1102.7148673193053</v>
      </c>
      <c r="Y50" s="23">
        <f>X50*Parameters!$C$13</f>
        <v>1.9848867611747496</v>
      </c>
      <c r="Z50" s="32">
        <f t="shared" si="43"/>
        <v>0.99067622144065359</v>
      </c>
      <c r="AA50" s="28">
        <f>((Parameters!$C$18*F50*Z50)/(D50+B50))^(1/(1-Parameters!$C$21))</f>
        <v>16.504932360428032</v>
      </c>
      <c r="AB50" s="24">
        <f>(1-U50)*Z50*F50*(AA50^Parameters!$C$21)</f>
        <v>16.225741420784829</v>
      </c>
      <c r="AC50" s="23">
        <f>(1-Parameters!$C$18)*AB50</f>
        <v>14.278652450290648</v>
      </c>
      <c r="AD50" s="30">
        <f t="shared" si="44"/>
        <v>2.658765586232521</v>
      </c>
      <c r="AE50" s="23">
        <f>1/(1+Parameters!$C$22*(A50-$A$9))</f>
        <v>0.72727272727272729</v>
      </c>
      <c r="AF50" s="30">
        <f t="shared" si="36"/>
        <v>99.149601078992717</v>
      </c>
      <c r="AG50" s="30">
        <f>BAU!AF12</f>
        <v>16.753616251228273</v>
      </c>
      <c r="AH50" s="30">
        <f t="shared" si="37"/>
        <v>-27.067277499959857</v>
      </c>
      <c r="AI50" s="4"/>
      <c r="AJ50" s="4"/>
      <c r="AK50" s="4"/>
      <c r="AL50" s="1"/>
      <c r="AM50" s="1"/>
      <c r="AN50" s="1"/>
      <c r="AO50" s="1"/>
      <c r="AP50" s="1"/>
      <c r="AQ50" s="1"/>
      <c r="AR50" s="1"/>
      <c r="AS50" s="1"/>
      <c r="AT50" s="1"/>
      <c r="AU50" s="1"/>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row>
    <row r="51" spans="1:113" x14ac:dyDescent="0.25">
      <c r="A51" s="22">
        <v>2040</v>
      </c>
      <c r="B51" s="27">
        <f>B50/(1+Parameters!$C$4)</f>
        <v>1.6968107115481548E-2</v>
      </c>
      <c r="C51" s="28">
        <f t="shared" si="51"/>
        <v>52.14599442216214</v>
      </c>
      <c r="D51" s="70">
        <f>Parameters!$C$19+(Parameters!$C$20*R51)</f>
        <v>0.10039191543708471</v>
      </c>
      <c r="E51" s="25">
        <f>($E$9/((1+Parameters!$C$8)^(A51-$A$9)))-Parameters!$C$9*Y51</f>
        <v>6.3951433988196471E-2</v>
      </c>
      <c r="F51" s="24">
        <f t="shared" si="47"/>
        <v>5.6869092704674831</v>
      </c>
      <c r="G51" s="116">
        <v>1689.8</v>
      </c>
      <c r="H51" s="14">
        <f t="shared" ref="H51:K51" si="53">H33</f>
        <v>69860.585141586096</v>
      </c>
      <c r="I51" s="14">
        <f t="shared" si="53"/>
        <v>133139.70793283489</v>
      </c>
      <c r="J51" s="14">
        <f t="shared" si="53"/>
        <v>12726.081927138761</v>
      </c>
      <c r="K51" s="14">
        <f t="shared" si="53"/>
        <v>54193.518151949807</v>
      </c>
      <c r="L51" s="131">
        <f t="shared" si="49"/>
        <v>51.612636914062513</v>
      </c>
      <c r="M51" s="131">
        <f t="shared" si="50"/>
        <v>69.877031919999979</v>
      </c>
      <c r="N51" s="137">
        <f>Parameters!P60</f>
        <v>203000293.07442099</v>
      </c>
      <c r="O51" s="139">
        <f>(((L51*Parameters!L60)+(M51*Parameters!M60))*Parameters!$C$24)/1000000</f>
        <v>12.161659941302057</v>
      </c>
      <c r="P51" s="138">
        <f>(H51+I51)/Parameters!B45</f>
        <v>0.63510905619225155</v>
      </c>
      <c r="Q51" s="39">
        <f>Parameters!O60/Parameters!B60</f>
        <v>0.16955046539072915</v>
      </c>
      <c r="R51" s="113">
        <f>(IF(P51-BAU!N13 &lt; 0, 0, P51-BAU!N13))+(IF(BAU!O13-Q51 &lt; 0,  0, BAU!O13-Q51))</f>
        <v>0.39191543708470722</v>
      </c>
      <c r="S51" s="39">
        <f t="shared" si="40"/>
        <v>0.39191543708470722</v>
      </c>
      <c r="T51" s="32">
        <f t="shared" si="41"/>
        <v>3.8940107443498684E-2</v>
      </c>
      <c r="U51" s="75">
        <f>T51*(S51^Parameters!$C$31)</f>
        <v>2.8270649219960201E-3</v>
      </c>
      <c r="V51" s="21">
        <f t="shared" si="42"/>
        <v>0.16955046539072915</v>
      </c>
      <c r="W51" s="21">
        <f t="shared" si="35"/>
        <v>174.22010467613032</v>
      </c>
      <c r="X51" s="20">
        <f>X50+(W51/Parameters!$C$12)</f>
        <v>1150.2294413218863</v>
      </c>
      <c r="Y51" s="23">
        <f>X51*Parameters!$C$13</f>
        <v>2.0704129943793954</v>
      </c>
      <c r="Z51" s="32">
        <f t="shared" si="43"/>
        <v>0.98986373111480763</v>
      </c>
      <c r="AA51" s="28">
        <f>((Parameters!$C$18*F51*Z51)/(D51+B51))^(1/(1-Parameters!$C$21))</f>
        <v>18.48649688446519</v>
      </c>
      <c r="AB51" s="24">
        <f>(1-U51)*Z51*F51*(AA51^Parameters!$C$21)</f>
        <v>18.028684666219593</v>
      </c>
      <c r="AC51" s="23">
        <f>(1-Parameters!$C$18)*AB51</f>
        <v>15.865242506273242</v>
      </c>
      <c r="AD51" s="30">
        <f t="shared" si="44"/>
        <v>2.7641307105327848</v>
      </c>
      <c r="AE51" s="23">
        <f>1/(1+Parameters!$C$22*(A51-$A$9))</f>
        <v>0.68965517241379315</v>
      </c>
      <c r="AF51" s="30">
        <f t="shared" si="36"/>
        <v>99.405754905910129</v>
      </c>
      <c r="AG51" s="30">
        <f>BAU!AF13</f>
        <v>18.731012679021322</v>
      </c>
      <c r="AH51" s="30">
        <f t="shared" si="37"/>
        <v>-36.623592638087182</v>
      </c>
      <c r="AI51" s="4"/>
      <c r="AJ51" s="4"/>
      <c r="AK51" s="4"/>
      <c r="AL51" s="1"/>
      <c r="AM51" s="1"/>
      <c r="AN51" s="1"/>
      <c r="AO51" s="1"/>
      <c r="AP51" s="1"/>
      <c r="AQ51" s="1"/>
      <c r="AR51" s="1"/>
      <c r="AS51" s="1"/>
      <c r="AT51" s="1"/>
      <c r="AU51" s="1"/>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row>
    <row r="52" spans="1:113" x14ac:dyDescent="0.25">
      <c r="A52" s="22">
        <v>2045</v>
      </c>
      <c r="B52" s="27">
        <f>B51/(1+Parameters!$C$4)</f>
        <v>1.6129379387339875E-2</v>
      </c>
      <c r="C52" s="28">
        <f t="shared" si="51"/>
        <v>52.987076949727296</v>
      </c>
      <c r="D52" s="70">
        <f>Parameters!$C$19+(Parameters!$C$20*R52)</f>
        <v>0.10045568002122873</v>
      </c>
      <c r="E52" s="25">
        <f>($E$9/((1+Parameters!$C$8)^(A52-$A$9)))-Parameters!$C$9*Y52</f>
        <v>6.1937666844225643E-2</v>
      </c>
      <c r="F52" s="24">
        <f t="shared" si="47"/>
        <v>6.0391431622350371</v>
      </c>
      <c r="G52" s="116">
        <v>1814.7</v>
      </c>
      <c r="H52" s="14">
        <f t="shared" ref="H52:K52" si="54">H34</f>
        <v>80152.999476753161</v>
      </c>
      <c r="I52" s="14">
        <f t="shared" si="54"/>
        <v>141245.98279090913</v>
      </c>
      <c r="J52" s="14">
        <f t="shared" si="54"/>
        <v>9785.4371310306251</v>
      </c>
      <c r="K52" s="14">
        <f t="shared" si="54"/>
        <v>46006.597989740636</v>
      </c>
      <c r="L52" s="131">
        <f t="shared" si="49"/>
        <v>47.741689145507827</v>
      </c>
      <c r="M52" s="131">
        <f t="shared" si="50"/>
        <v>65.684410004799972</v>
      </c>
      <c r="N52" s="137">
        <f>Parameters!P61</f>
        <v>221398982.26766229</v>
      </c>
      <c r="O52" s="139">
        <f>(((L52*Parameters!L61)+(M52*Parameters!M61))*Parameters!$C$24)/1000000</f>
        <v>12.34555973957567</v>
      </c>
      <c r="P52" s="138">
        <f>(H52+I52)/Parameters!B46</f>
        <v>0.67752812354888481</v>
      </c>
      <c r="Q52" s="39">
        <f>Parameters!O61/Parameters!B61</f>
        <v>0.14079000584190896</v>
      </c>
      <c r="R52" s="113">
        <f>(IF(P52-BAU!N14 &lt; 0, 0, P52-BAU!N14))+(IF(BAU!O14-Q52 &lt; 0,  0, BAU!O14-Q52))</f>
        <v>0.45568002122873286</v>
      </c>
      <c r="S52" s="39">
        <f t="shared" si="40"/>
        <v>0.45568002122873286</v>
      </c>
      <c r="T52" s="32">
        <f t="shared" si="41"/>
        <v>3.6528248041784908E-2</v>
      </c>
      <c r="U52" s="75">
        <f>T52*(S52^Parameters!$C$31)</f>
        <v>4.0446114705126853E-3</v>
      </c>
      <c r="V52" s="21">
        <f t="shared" si="42"/>
        <v>0.14079000584190896</v>
      </c>
      <c r="W52" s="21">
        <f t="shared" si="35"/>
        <v>139.06919513490283</v>
      </c>
      <c r="X52" s="20">
        <f>X51+(W52/Parameters!$C$12)</f>
        <v>1188.1574036314053</v>
      </c>
      <c r="Y52" s="23">
        <f>X52*Parameters!$C$13</f>
        <v>2.1386833265365293</v>
      </c>
      <c r="Z52" s="32">
        <f t="shared" si="43"/>
        <v>0.98919158228758397</v>
      </c>
      <c r="AA52" s="28">
        <f>((Parameters!$C$18*F52*Z52)/(D52+B52))^(1/(1-Parameters!$C$21))</f>
        <v>20.63748676791214</v>
      </c>
      <c r="AB52" s="24">
        <f>(1-U52)*Z52*F52*(AA52^Parameters!$C$21)</f>
        <v>19.969093284915495</v>
      </c>
      <c r="AC52" s="23">
        <f>(1-Parameters!$C$18)*AB52</f>
        <v>17.572802090725634</v>
      </c>
      <c r="AD52" s="30">
        <f t="shared" si="44"/>
        <v>2.8663523710270371</v>
      </c>
      <c r="AE52" s="23">
        <f>1/(1+Parameters!$C$22*(A52-$A$9))</f>
        <v>0.65573770491803285</v>
      </c>
      <c r="AF52" s="30">
        <f t="shared" si="36"/>
        <v>99.59320239255274</v>
      </c>
      <c r="AG52" s="30">
        <f>BAU!AF14</f>
        <v>20.873702061172605</v>
      </c>
      <c r="AH52" s="30">
        <f t="shared" si="37"/>
        <v>-47.932574836934116</v>
      </c>
      <c r="AI52" s="4"/>
      <c r="AJ52" s="4"/>
      <c r="AK52" s="4"/>
      <c r="AL52" s="1"/>
      <c r="AM52" s="1"/>
      <c r="AN52" s="1"/>
      <c r="AO52" s="1"/>
      <c r="AP52" s="1"/>
      <c r="AQ52" s="1"/>
      <c r="AR52" s="1"/>
      <c r="AS52" s="1"/>
      <c r="AT52" s="1"/>
      <c r="AU52" s="1"/>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row>
    <row r="53" spans="1:113" ht="15.75" thickBot="1" x14ac:dyDescent="0.3">
      <c r="A53" s="22">
        <v>2050</v>
      </c>
      <c r="B53" s="27">
        <f>B52/(1+Parameters!$C$4)</f>
        <v>1.533210968378315E-2</v>
      </c>
      <c r="C53" s="28">
        <f t="shared" si="51"/>
        <v>53.79948062534357</v>
      </c>
      <c r="D53" s="70">
        <f>Parameters!$C$19+(Parameters!$C$20*R53)</f>
        <v>0.10049864704468618</v>
      </c>
      <c r="E53" s="25">
        <f>($E$9/((1+Parameters!$C$8)^(A53-$A$9)))-Parameters!$C$9*Y53</f>
        <v>5.999277471790352E-2</v>
      </c>
      <c r="F53" s="24">
        <f>F52*(1+E53)</f>
        <v>6.4014481174561704</v>
      </c>
      <c r="G53" s="116">
        <v>1946.6</v>
      </c>
      <c r="H53" s="14">
        <f t="shared" ref="H53:K53" si="55">H35</f>
        <v>90965.710287184847</v>
      </c>
      <c r="I53" s="14">
        <f t="shared" si="55"/>
        <v>148539.01722352521</v>
      </c>
      <c r="J53" s="14">
        <f t="shared" si="55"/>
        <v>6133.3047331966181</v>
      </c>
      <c r="K53" s="14">
        <f t="shared" si="55"/>
        <v>39641.889162162595</v>
      </c>
      <c r="L53" s="131">
        <f>L52*(1-0.075)</f>
        <v>44.161062459594746</v>
      </c>
      <c r="M53" s="131">
        <f t="shared" si="50"/>
        <v>61.74334540451197</v>
      </c>
      <c r="N53" s="137">
        <f>Parameters!P62</f>
        <v>239504727.51071006</v>
      </c>
      <c r="O53" s="140">
        <f>(((L53*Parameters!L62)+(M53*Parameters!M62))*Parameters!$C$24)/1000000</f>
        <v>12.424827684889802</v>
      </c>
      <c r="P53" s="138">
        <f>(H53+I53)/Parameters!B47</f>
        <v>0.7153303157959251</v>
      </c>
      <c r="Q53" s="39">
        <f>Parameters!O62/Parameters!B62</f>
        <v>0.11839868627164686</v>
      </c>
      <c r="R53" s="113">
        <f>(IF(P53-BAU!N15 &lt; 0, 0, P53-BAU!N15))+(IF(BAU!O15-Q53 &lt; 0,  0, BAU!O15-Q53))</f>
        <v>0.49864704468618015</v>
      </c>
      <c r="S53" s="39">
        <f t="shared" si="40"/>
        <v>0.49864704468618015</v>
      </c>
      <c r="T53" s="32">
        <f t="shared" si="41"/>
        <v>3.4336817086174407E-2</v>
      </c>
      <c r="U53" s="75">
        <f>T53*(S53^Parameters!$C$31)</f>
        <v>4.8930666727095258E-3</v>
      </c>
      <c r="V53" s="21">
        <f>Q53</f>
        <v>0.11839868627164686</v>
      </c>
      <c r="W53" s="21">
        <f t="shared" si="35"/>
        <v>115.54926356543997</v>
      </c>
      <c r="X53" s="20">
        <f>X52+(W53/Parameters!$C$12)</f>
        <v>1219.6708391492525</v>
      </c>
      <c r="Y53" s="23">
        <f>X53*Parameters!$C$13</f>
        <v>2.1954075104686543</v>
      </c>
      <c r="Z53" s="32">
        <f t="shared" si="43"/>
        <v>0.98861724950935626</v>
      </c>
      <c r="AA53" s="28">
        <f>((Parameters!$C$18*F53*Z53)/(D53+B53))^(1/(1-Parameters!$C$21))</f>
        <v>22.96710611644</v>
      </c>
      <c r="AB53" s="24">
        <f>(1-U53)*Z53*F53*(AA53^Parameters!$C$21)</f>
        <v>22.060668911362704</v>
      </c>
      <c r="AC53" s="23">
        <f>(1-Parameters!$C$18)*AB53</f>
        <v>19.41338864199918</v>
      </c>
      <c r="AD53" s="30">
        <f t="shared" si="44"/>
        <v>2.9659629642203411</v>
      </c>
      <c r="AE53" s="23">
        <f>1/(1+Parameters!$C$22*(A53-$A$9))</f>
        <v>0.625</v>
      </c>
      <c r="AF53" s="30">
        <f t="shared" si="36"/>
        <v>99.729541893161766</v>
      </c>
      <c r="AG53" s="30">
        <f>BAU!AF15</f>
        <v>23.187993404994479</v>
      </c>
      <c r="AH53" s="30">
        <f t="shared" si="37"/>
        <v>-60.649472253617944</v>
      </c>
      <c r="AI53" s="4"/>
      <c r="AJ53" s="4"/>
      <c r="AK53" s="4"/>
      <c r="AL53" s="1"/>
      <c r="AM53" s="1"/>
      <c r="AN53" s="1"/>
      <c r="AO53" s="1"/>
      <c r="AP53" s="1"/>
      <c r="AQ53" s="1"/>
      <c r="AR53" s="1"/>
      <c r="AS53" s="1"/>
      <c r="AT53" s="1"/>
      <c r="AU53" s="1"/>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row>
    <row r="54" spans="1:113" ht="56.25" x14ac:dyDescent="0.25">
      <c r="A54" s="3"/>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7"/>
      <c r="AD54" s="7"/>
      <c r="AE54" s="33" t="s">
        <v>78</v>
      </c>
      <c r="AF54" s="88">
        <f>SUM(AF45:AF53)</f>
        <v>886.89556348905614</v>
      </c>
      <c r="AG54" s="108"/>
      <c r="AH54" s="76"/>
      <c r="AI54" s="4"/>
      <c r="AJ54" s="4"/>
      <c r="AK54" s="4"/>
      <c r="AL54" s="1"/>
      <c r="AM54" s="1"/>
      <c r="AN54" s="1"/>
      <c r="AO54" s="1"/>
      <c r="AP54" s="1"/>
      <c r="AQ54" s="1"/>
      <c r="AR54" s="1"/>
      <c r="AS54" s="1"/>
      <c r="AT54" s="1"/>
      <c r="AU54" s="1"/>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row>
    <row r="55" spans="1:113" x14ac:dyDescent="0.25">
      <c r="A55" s="3"/>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7"/>
      <c r="AD55" s="7"/>
      <c r="AE55" s="4"/>
      <c r="AF55" s="4"/>
      <c r="AG55" s="4"/>
      <c r="AH55" s="4"/>
      <c r="AI55" s="4"/>
      <c r="AJ55" s="4"/>
      <c r="AK55" s="4"/>
      <c r="AL55" s="1"/>
      <c r="AM55" s="1"/>
      <c r="AN55" s="1"/>
      <c r="AO55" s="1"/>
      <c r="AP55" s="1"/>
      <c r="AQ55" s="1"/>
      <c r="AR55" s="1"/>
      <c r="AS55" s="1"/>
      <c r="AT55" s="1"/>
      <c r="AU55" s="1"/>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row>
    <row r="56" spans="1:113" x14ac:dyDescent="0.25">
      <c r="A56" s="3"/>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7"/>
      <c r="AD56" s="7"/>
      <c r="AE56" s="4"/>
      <c r="AF56" s="4"/>
      <c r="AG56" s="4"/>
      <c r="AH56" s="4"/>
      <c r="AI56" s="4"/>
      <c r="AJ56" s="4"/>
      <c r="AK56" s="4"/>
      <c r="AL56" s="1"/>
      <c r="AM56" s="1"/>
      <c r="AN56" s="1"/>
      <c r="AO56" s="1"/>
      <c r="AP56" s="1"/>
      <c r="AQ56" s="1"/>
      <c r="AR56" s="1"/>
      <c r="AS56" s="1"/>
      <c r="AT56" s="1"/>
      <c r="AU56" s="1"/>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row>
    <row r="57" spans="1:113" ht="18.75" x14ac:dyDescent="0.3">
      <c r="A57" s="31" t="s">
        <v>295</v>
      </c>
      <c r="E57" s="31"/>
      <c r="AI57" s="4"/>
      <c r="AJ57" s="4"/>
      <c r="AK57" s="4"/>
      <c r="AL57" s="1"/>
      <c r="AM57" s="1"/>
      <c r="AN57" s="1"/>
      <c r="AO57" s="1"/>
      <c r="AP57" s="1"/>
      <c r="AQ57" s="1"/>
      <c r="AR57" s="1"/>
      <c r="AS57" s="1"/>
      <c r="AT57" s="1"/>
      <c r="AU57" s="1"/>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row>
    <row r="58" spans="1:113" x14ac:dyDescent="0.25">
      <c r="A58" s="16" t="s">
        <v>25</v>
      </c>
      <c r="B58" s="168" t="s">
        <v>68</v>
      </c>
      <c r="C58" s="169"/>
      <c r="D58" s="169"/>
      <c r="E58" s="169"/>
      <c r="F58" s="170"/>
      <c r="G58" s="128"/>
      <c r="H58" s="165" t="s">
        <v>116</v>
      </c>
      <c r="I58" s="166"/>
      <c r="J58" s="166"/>
      <c r="K58" s="166"/>
      <c r="L58" s="166"/>
      <c r="M58" s="166"/>
      <c r="N58" s="166"/>
      <c r="O58" s="166"/>
      <c r="P58" s="166"/>
      <c r="Q58" s="166"/>
      <c r="R58" s="166"/>
      <c r="S58" s="166"/>
      <c r="T58" s="166"/>
      <c r="U58" s="166"/>
      <c r="V58" s="179" t="s">
        <v>39</v>
      </c>
      <c r="W58" s="179"/>
      <c r="X58" s="179"/>
      <c r="Y58" s="179"/>
      <c r="Z58" s="179"/>
      <c r="AA58" s="186" t="s">
        <v>79</v>
      </c>
      <c r="AB58" s="186"/>
      <c r="AC58" s="187"/>
      <c r="AD58" s="174" t="s">
        <v>40</v>
      </c>
      <c r="AE58" s="175"/>
      <c r="AF58" s="175"/>
      <c r="AG58" s="175"/>
      <c r="AH58" s="175"/>
      <c r="AI58" s="4"/>
      <c r="AJ58" s="4"/>
      <c r="AK58" s="4"/>
      <c r="AL58" s="1"/>
      <c r="AM58" s="1"/>
      <c r="AN58" s="1"/>
      <c r="AO58" s="1"/>
      <c r="AP58" s="1"/>
      <c r="AQ58" s="1"/>
      <c r="AR58" s="1"/>
      <c r="AS58" s="1"/>
      <c r="AT58" s="1"/>
      <c r="AU58" s="1"/>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row>
    <row r="59" spans="1:113" x14ac:dyDescent="0.25">
      <c r="A59" s="36"/>
      <c r="B59" s="171"/>
      <c r="C59" s="172"/>
      <c r="D59" s="172"/>
      <c r="E59" s="172"/>
      <c r="F59" s="173"/>
      <c r="G59" s="129"/>
      <c r="H59" s="162" t="s">
        <v>94</v>
      </c>
      <c r="I59" s="163"/>
      <c r="J59" s="163"/>
      <c r="K59" s="163"/>
      <c r="L59" s="190" t="s">
        <v>107</v>
      </c>
      <c r="M59" s="191"/>
      <c r="N59" s="192"/>
      <c r="O59" s="190" t="s">
        <v>99</v>
      </c>
      <c r="P59" s="191"/>
      <c r="Q59" s="191"/>
      <c r="R59" s="191"/>
      <c r="S59" s="191"/>
      <c r="T59" s="191"/>
      <c r="U59" s="191"/>
      <c r="V59" s="181"/>
      <c r="W59" s="181"/>
      <c r="X59" s="181"/>
      <c r="Y59" s="181"/>
      <c r="Z59" s="181"/>
      <c r="AA59" s="188"/>
      <c r="AB59" s="188"/>
      <c r="AC59" s="189"/>
      <c r="AD59" s="176"/>
      <c r="AE59" s="177"/>
      <c r="AF59" s="177"/>
      <c r="AG59" s="177"/>
      <c r="AH59" s="177"/>
      <c r="AI59" s="4"/>
      <c r="AJ59" s="4"/>
      <c r="AK59" s="4"/>
      <c r="AL59" s="1"/>
      <c r="AM59" s="1"/>
      <c r="AN59" s="1"/>
      <c r="AO59" s="1"/>
      <c r="AP59" s="1"/>
      <c r="AQ59" s="1"/>
      <c r="AR59" s="1"/>
      <c r="AS59" s="1"/>
      <c r="AT59" s="1"/>
      <c r="AU59" s="1"/>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row>
    <row r="60" spans="1:113" ht="69" thickBot="1" x14ac:dyDescent="0.3">
      <c r="A60" s="17" t="s">
        <v>43</v>
      </c>
      <c r="B60" s="18" t="s">
        <v>31</v>
      </c>
      <c r="C60" s="18" t="s">
        <v>59</v>
      </c>
      <c r="D60" s="18" t="s">
        <v>31</v>
      </c>
      <c r="E60" s="18" t="s">
        <v>31</v>
      </c>
      <c r="F60" s="18" t="s">
        <v>31</v>
      </c>
      <c r="G60" s="18" t="s">
        <v>250</v>
      </c>
      <c r="H60" s="34" t="s">
        <v>95</v>
      </c>
      <c r="I60" s="34" t="s">
        <v>95</v>
      </c>
      <c r="J60" s="34" t="s">
        <v>95</v>
      </c>
      <c r="K60" s="34" t="s">
        <v>95</v>
      </c>
      <c r="L60" s="34" t="s">
        <v>309</v>
      </c>
      <c r="M60" s="34" t="s">
        <v>309</v>
      </c>
      <c r="N60" s="34" t="s">
        <v>237</v>
      </c>
      <c r="O60" s="34" t="s">
        <v>322</v>
      </c>
      <c r="P60" s="34" t="s">
        <v>100</v>
      </c>
      <c r="Q60" s="34" t="s">
        <v>100</v>
      </c>
      <c r="R60" s="34" t="s">
        <v>215</v>
      </c>
      <c r="S60" s="34" t="s">
        <v>138</v>
      </c>
      <c r="T60" s="34" t="s">
        <v>122</v>
      </c>
      <c r="U60" s="34" t="s">
        <v>122</v>
      </c>
      <c r="V60" s="19" t="s">
        <v>216</v>
      </c>
      <c r="W60" s="19" t="s">
        <v>130</v>
      </c>
      <c r="X60" s="19" t="s">
        <v>31</v>
      </c>
      <c r="Y60" s="19" t="s">
        <v>49</v>
      </c>
      <c r="Z60" s="19" t="s">
        <v>48</v>
      </c>
      <c r="AA60" s="29" t="s">
        <v>233</v>
      </c>
      <c r="AB60" s="29" t="s">
        <v>233</v>
      </c>
      <c r="AC60" s="29" t="s">
        <v>233</v>
      </c>
      <c r="AD60" s="26" t="s">
        <v>19</v>
      </c>
      <c r="AE60" s="26" t="s">
        <v>4</v>
      </c>
      <c r="AF60" s="26" t="s">
        <v>4</v>
      </c>
      <c r="AG60" s="26" t="s">
        <v>234</v>
      </c>
      <c r="AH60" s="26" t="s">
        <v>232</v>
      </c>
      <c r="AI60" s="4"/>
      <c r="AJ60" s="4"/>
      <c r="AK60" s="4"/>
      <c r="AL60" s="1"/>
      <c r="AM60" s="1"/>
      <c r="AN60" s="1"/>
      <c r="AO60" s="1"/>
      <c r="AP60" s="1"/>
      <c r="AQ60" s="1"/>
      <c r="AR60" s="1"/>
      <c r="AS60" s="1"/>
      <c r="AT60" s="1"/>
      <c r="AU60" s="1"/>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row>
    <row r="61" spans="1:113" ht="63.75" x14ac:dyDescent="0.25">
      <c r="A61" s="10" t="s">
        <v>0</v>
      </c>
      <c r="B61" s="11" t="s">
        <v>50</v>
      </c>
      <c r="C61" s="11" t="s">
        <v>11</v>
      </c>
      <c r="D61" s="11" t="s">
        <v>133</v>
      </c>
      <c r="E61" s="11" t="s">
        <v>60</v>
      </c>
      <c r="F61" s="11" t="s">
        <v>61</v>
      </c>
      <c r="G61" s="11" t="s">
        <v>251</v>
      </c>
      <c r="H61" s="11" t="s">
        <v>96</v>
      </c>
      <c r="I61" s="11" t="s">
        <v>97</v>
      </c>
      <c r="J61" s="11" t="s">
        <v>98</v>
      </c>
      <c r="K61" s="11" t="s">
        <v>101</v>
      </c>
      <c r="L61" s="11" t="s">
        <v>299</v>
      </c>
      <c r="M61" s="11" t="s">
        <v>300</v>
      </c>
      <c r="N61" s="109" t="s">
        <v>236</v>
      </c>
      <c r="O61" s="135" t="s">
        <v>239</v>
      </c>
      <c r="P61" s="11" t="s">
        <v>104</v>
      </c>
      <c r="Q61" s="11" t="s">
        <v>212</v>
      </c>
      <c r="R61" s="11" t="s">
        <v>214</v>
      </c>
      <c r="S61" s="11" t="s">
        <v>126</v>
      </c>
      <c r="T61" s="11" t="s">
        <v>125</v>
      </c>
      <c r="U61" s="11" t="s">
        <v>137</v>
      </c>
      <c r="V61" s="11" t="s">
        <v>136</v>
      </c>
      <c r="W61" s="11" t="s">
        <v>217</v>
      </c>
      <c r="X61" s="11" t="s">
        <v>88</v>
      </c>
      <c r="Y61" s="11" t="s">
        <v>14</v>
      </c>
      <c r="Z61" s="11" t="s">
        <v>15</v>
      </c>
      <c r="AA61" s="11" t="s">
        <v>45</v>
      </c>
      <c r="AB61" s="11" t="s">
        <v>82</v>
      </c>
      <c r="AC61" s="11" t="s">
        <v>83</v>
      </c>
      <c r="AD61" s="11" t="s">
        <v>26</v>
      </c>
      <c r="AE61" s="11" t="s">
        <v>16</v>
      </c>
      <c r="AF61" s="11" t="s">
        <v>17</v>
      </c>
      <c r="AG61" s="11" t="s">
        <v>227</v>
      </c>
      <c r="AH61" s="11" t="s">
        <v>141</v>
      </c>
      <c r="AI61" s="4"/>
      <c r="AJ61" s="4"/>
      <c r="AK61" s="4"/>
      <c r="AL61" s="1"/>
      <c r="AM61" s="1"/>
      <c r="AN61" s="1"/>
      <c r="AO61" s="1"/>
      <c r="AP61" s="1"/>
      <c r="AQ61" s="1"/>
      <c r="AR61" s="1"/>
      <c r="AS61" s="1"/>
      <c r="AT61" s="1"/>
      <c r="AU61" s="1"/>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row>
    <row r="62" spans="1:113" x14ac:dyDescent="0.25">
      <c r="A62" s="10" t="s">
        <v>9</v>
      </c>
      <c r="B62" s="11" t="s">
        <v>51</v>
      </c>
      <c r="C62" s="11" t="s">
        <v>10</v>
      </c>
      <c r="D62" s="11" t="s">
        <v>134</v>
      </c>
      <c r="E62" s="11" t="s">
        <v>33</v>
      </c>
      <c r="F62" s="11" t="s">
        <v>30</v>
      </c>
      <c r="G62" s="11" t="s">
        <v>129</v>
      </c>
      <c r="H62" s="11" t="s">
        <v>84</v>
      </c>
      <c r="I62" s="11" t="s">
        <v>85</v>
      </c>
      <c r="J62" s="11" t="s">
        <v>86</v>
      </c>
      <c r="K62" s="11" t="s">
        <v>106</v>
      </c>
      <c r="L62" s="11" t="s">
        <v>89</v>
      </c>
      <c r="M62" s="11" t="s">
        <v>90</v>
      </c>
      <c r="N62" s="11" t="s">
        <v>235</v>
      </c>
      <c r="O62" s="136" t="s">
        <v>121</v>
      </c>
      <c r="P62" s="11" t="s">
        <v>105</v>
      </c>
      <c r="Q62" s="11" t="s">
        <v>213</v>
      </c>
      <c r="R62" s="11" t="s">
        <v>115</v>
      </c>
      <c r="S62" s="11" t="s">
        <v>127</v>
      </c>
      <c r="T62" s="11" t="s">
        <v>87</v>
      </c>
      <c r="U62" s="11" t="s">
        <v>119</v>
      </c>
      <c r="V62" s="11" t="s">
        <v>128</v>
      </c>
      <c r="W62" s="11" t="s">
        <v>62</v>
      </c>
      <c r="X62" s="11" t="s">
        <v>24</v>
      </c>
      <c r="Y62" s="11" t="s">
        <v>135</v>
      </c>
      <c r="Z62" s="11" t="s">
        <v>23</v>
      </c>
      <c r="AA62" s="11" t="s">
        <v>44</v>
      </c>
      <c r="AB62" s="11" t="s">
        <v>47</v>
      </c>
      <c r="AC62" s="11" t="s">
        <v>13</v>
      </c>
      <c r="AD62" s="11" t="s">
        <v>18</v>
      </c>
      <c r="AE62" s="11" t="s">
        <v>20</v>
      </c>
      <c r="AF62" s="11" t="s">
        <v>21</v>
      </c>
      <c r="AG62" s="11" t="s">
        <v>228</v>
      </c>
      <c r="AH62" s="11" t="s">
        <v>142</v>
      </c>
      <c r="AI62" s="4"/>
      <c r="AJ62" s="4"/>
      <c r="AK62" s="4"/>
      <c r="AL62" s="1"/>
      <c r="AM62" s="1"/>
      <c r="AN62" s="1"/>
      <c r="AO62" s="1"/>
      <c r="AP62" s="1"/>
      <c r="AQ62" s="1"/>
      <c r="AR62" s="1"/>
      <c r="AS62" s="1"/>
      <c r="AT62" s="1"/>
      <c r="AU62" s="1"/>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row>
    <row r="63" spans="1:113" x14ac:dyDescent="0.25">
      <c r="A63" s="22">
        <v>2010</v>
      </c>
      <c r="B63" s="28">
        <f>Parameters!$C$3</f>
        <v>2.3E-2</v>
      </c>
      <c r="C63" s="28">
        <f>Parameters!$C$5</f>
        <v>46.486621</v>
      </c>
      <c r="D63" s="70">
        <f>Parameters!$C$19</f>
        <v>0.1</v>
      </c>
      <c r="E63" s="21">
        <f>Parameters!$C$7</f>
        <v>7.9000000000000001E-2</v>
      </c>
      <c r="F63" s="24">
        <f>Parameters!$C$6</f>
        <v>3.8</v>
      </c>
      <c r="G63" s="116">
        <f>11614/10</f>
        <v>1161.4000000000001</v>
      </c>
      <c r="H63" s="14">
        <f>H9</f>
        <v>5559.3172086930372</v>
      </c>
      <c r="I63" s="14">
        <f t="shared" ref="I63:K63" si="56">I9</f>
        <v>30473.280877728444</v>
      </c>
      <c r="J63" s="14">
        <f t="shared" si="56"/>
        <v>47720.347945502341</v>
      </c>
      <c r="K63" s="14">
        <f t="shared" si="56"/>
        <v>166313.54618313035</v>
      </c>
      <c r="L63" s="131">
        <f t="shared" ref="L63:L67" si="57">L64*(1+0.002)</f>
        <v>45.036677130688545</v>
      </c>
      <c r="M63" s="131">
        <f t="shared" ref="M63:M67" si="58">M64*(1+0.01)</f>
        <v>71.228002105327107</v>
      </c>
      <c r="N63" s="137">
        <f>Parameters!P54</f>
        <v>36032598.086421482</v>
      </c>
      <c r="O63" s="139">
        <f>(((L63*Parameters!L54)+(M63*Parameters!M54))*Parameters!$C$24)/1000000</f>
        <v>2.2807525839737424</v>
      </c>
      <c r="P63" s="138">
        <f>(H63+I63)/Parameters!B39</f>
        <v>0.12078505660505993</v>
      </c>
      <c r="Q63" s="39">
        <f>Parameters!O54/Parameters!B54</f>
        <v>0.55750049002122004</v>
      </c>
      <c r="R63" s="113">
        <f>(IF(P63-BAU!N7 &lt; 0, 0, P63-BAU!N7))+(IF(BAU!O7-Q63 &lt; 0,  0, BAU!O7-Q63))</f>
        <v>8.4784719799987918E-5</v>
      </c>
      <c r="S63" s="39">
        <f>R63</f>
        <v>8.4784719799987918E-5</v>
      </c>
      <c r="T63" s="32">
        <f>Parameters!$C$30</f>
        <v>0.06</v>
      </c>
      <c r="U63" s="75">
        <f>T63*(S63^Parameters!$C$31)</f>
        <v>2.3847370562931092E-13</v>
      </c>
      <c r="V63" s="21">
        <f>Q63</f>
        <v>0.55750049002122004</v>
      </c>
      <c r="W63" s="21">
        <f t="shared" ref="W63:W71" si="59">(1-S63)*V63*G63</f>
        <v>647.4261726096247</v>
      </c>
      <c r="X63" s="20">
        <f>Parameters!$C$11</f>
        <v>530</v>
      </c>
      <c r="Y63" s="23">
        <f>X63*Parameters!$C$13</f>
        <v>0.95399999999999996</v>
      </c>
      <c r="Z63" s="32">
        <f>1/(1+((Y63/20.46)^2)+((Y63/6081)^6754))</f>
        <v>0.99783058667694802</v>
      </c>
      <c r="AA63" s="28">
        <f>((Parameters!$C$18*F63*Z63)/(D63+B63))^(1/(1-Parameters!$C$21))</f>
        <v>8.8483217392581075</v>
      </c>
      <c r="AB63" s="24">
        <f>(1-U63)*Z63*F63*(AA63^Parameters!$C$21)</f>
        <v>9.0695297827373995</v>
      </c>
      <c r="AC63" s="23">
        <f>(1-Parameters!$C$18)*AB63</f>
        <v>7.9811862088089116</v>
      </c>
      <c r="AD63" s="30">
        <f>LN(AC63)</f>
        <v>2.0770870481351547</v>
      </c>
      <c r="AE63" s="23">
        <f>1/(1+Parameters!$C$22*(A63-$A$9))</f>
        <v>1</v>
      </c>
      <c r="AF63" s="30">
        <f t="shared" ref="AF63:AF71" si="60">C63*AD63*AE63</f>
        <v>96.556758390667696</v>
      </c>
      <c r="AG63" s="30">
        <f>BAU!AF7</f>
        <v>9.1024174870568153</v>
      </c>
      <c r="AH63" s="30">
        <f t="shared" ref="AH63:AH71" si="61">(AB63-AG63)*C63</f>
        <v>-1.5288382462567447</v>
      </c>
      <c r="AI63" s="4"/>
      <c r="AJ63" s="4"/>
      <c r="AK63" s="4"/>
      <c r="AL63" s="1"/>
      <c r="AM63" s="1"/>
      <c r="AN63" s="1"/>
      <c r="AO63" s="1"/>
      <c r="AP63" s="1"/>
      <c r="AQ63" s="1"/>
      <c r="AR63" s="1"/>
      <c r="AS63" s="1"/>
      <c r="AT63" s="1"/>
      <c r="AU63" s="1"/>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row>
    <row r="64" spans="1:113" x14ac:dyDescent="0.25">
      <c r="A64" s="22">
        <v>2015</v>
      </c>
      <c r="B64" s="27">
        <f>B63/(1+Parameters!$C$4)</f>
        <v>2.1863117870722433E-2</v>
      </c>
      <c r="C64" s="28">
        <f t="shared" ref="C64:C66" si="62">C63*(1+B64)</f>
        <v>47.502963474334599</v>
      </c>
      <c r="D64" s="70">
        <f>Parameters!$C$19+(Parameters!$C$20*R64)</f>
        <v>0.10001390376979419</v>
      </c>
      <c r="E64" s="25">
        <f>($E$9/((1+Parameters!$C$8)^(A64-$A$9)))-Parameters!$C$9*Y64</f>
        <v>7.541800853720422E-2</v>
      </c>
      <c r="F64" s="24">
        <f>F63*(1+E64)</f>
        <v>4.0865884324413759</v>
      </c>
      <c r="G64" s="116">
        <v>1221.3</v>
      </c>
      <c r="H64" s="14">
        <f t="shared" ref="H64:K64" si="63">H10</f>
        <v>8406.2977035764925</v>
      </c>
      <c r="I64" s="14">
        <f t="shared" si="63"/>
        <v>43620.965196725607</v>
      </c>
      <c r="J64" s="14">
        <f t="shared" si="63"/>
        <v>37889.206829909628</v>
      </c>
      <c r="K64" s="14">
        <f t="shared" si="63"/>
        <v>141517.96380639906</v>
      </c>
      <c r="L64" s="131">
        <f t="shared" si="57"/>
        <v>44.946783563561425</v>
      </c>
      <c r="M64" s="131">
        <f t="shared" si="58"/>
        <v>70.522774361710006</v>
      </c>
      <c r="N64" s="137">
        <f>Parameters!P55</f>
        <v>52027262.900302097</v>
      </c>
      <c r="O64" s="139">
        <f>(((L64*Parameters!L55)+(M64*Parameters!M55))*Parameters!$C$24)/1000000</f>
        <v>3.2541147035063398</v>
      </c>
      <c r="P64" s="138">
        <f>(H64+I64)/Parameters!B40</f>
        <v>0.1865892773006082</v>
      </c>
      <c r="Q64" s="39">
        <f>Parameters!O55/Parameters!B55</f>
        <v>0.50753649374732535</v>
      </c>
      <c r="R64" s="113">
        <f>(IF(P64-BAU!N8 &lt; 0, 0, P64-BAU!N8))+(IF(BAU!O8-Q64 &lt; 0,  0, BAU!O8-Q64))</f>
        <v>1.3903769794187754E-2</v>
      </c>
      <c r="S64" s="39">
        <f t="shared" ref="S64:S71" si="64">R64</f>
        <v>1.3903769794187754E-2</v>
      </c>
      <c r="T64" s="32">
        <f t="shared" ref="T64:T71" si="65">T63*(1+(-E64))</f>
        <v>5.547491948776774E-2</v>
      </c>
      <c r="U64" s="75">
        <f>T64*(S64^Parameters!$C$31)</f>
        <v>3.5064517920997509E-7</v>
      </c>
      <c r="V64" s="21">
        <f t="shared" ref="V64:V70" si="66">Q64</f>
        <v>0.50753649374732535</v>
      </c>
      <c r="W64" s="21">
        <f t="shared" si="59"/>
        <v>611.2360080449871</v>
      </c>
      <c r="X64" s="20">
        <f>X63+(W64/Parameters!$C$12)</f>
        <v>696.70072946681466</v>
      </c>
      <c r="Y64" s="23">
        <f>X64*Parameters!$C$13</f>
        <v>1.2540613130402665</v>
      </c>
      <c r="Z64" s="32">
        <f t="shared" ref="Z64:Z71" si="67">1/(1+((Y64/20.46)^2)+((Y64/6081)^6754))</f>
        <v>0.99625719026155024</v>
      </c>
      <c r="AA64" s="28">
        <f>((Parameters!$C$18*F64*Z64)/(D64+B64))^(1/(1-Parameters!$C$21))</f>
        <v>10.115475579960291</v>
      </c>
      <c r="AB64" s="24">
        <f>(1-U64)*Z64*F64*(AA64^Parameters!$C$21)</f>
        <v>10.27369669893433</v>
      </c>
      <c r="AC64" s="23">
        <f>(1-Parameters!$C$18)*AB64</f>
        <v>9.0408530950622108</v>
      </c>
      <c r="AD64" s="30">
        <f t="shared" ref="AD64:AD71" si="68">LN(AC64)</f>
        <v>2.2017535388744296</v>
      </c>
      <c r="AE64" s="23">
        <f>1/(1+Parameters!$C$22*(A64-$A$9))</f>
        <v>0.93023255813953487</v>
      </c>
      <c r="AF64" s="30">
        <f t="shared" si="60"/>
        <v>97.292853894547889</v>
      </c>
      <c r="AG64" s="30">
        <f>BAU!AF8</f>
        <v>10.358997143018955</v>
      </c>
      <c r="AH64" s="30">
        <f t="shared" si="61"/>
        <v>-4.0520238796964732</v>
      </c>
      <c r="AI64" s="4"/>
      <c r="AJ64" s="4"/>
      <c r="AK64" s="4"/>
      <c r="AL64" s="1"/>
      <c r="AM64" s="1"/>
      <c r="AN64" s="1"/>
      <c r="AO64" s="1"/>
      <c r="AP64" s="1"/>
      <c r="AQ64" s="1"/>
      <c r="AR64" s="1"/>
      <c r="AS64" s="1"/>
      <c r="AT64" s="1"/>
      <c r="AU64" s="1"/>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row>
    <row r="65" spans="1:113" x14ac:dyDescent="0.25">
      <c r="A65" s="22">
        <v>2020</v>
      </c>
      <c r="B65" s="27">
        <f>B64/(1+Parameters!$C$4)</f>
        <v>2.0782431436047938E-2</v>
      </c>
      <c r="C65" s="28">
        <f t="shared" si="62"/>
        <v>48.490190555749045</v>
      </c>
      <c r="D65" s="70">
        <f>Parameters!$C$19+(Parameters!$C$20*R65)</f>
        <v>0.10004202165269881</v>
      </c>
      <c r="E65" s="25">
        <f>($E$9/((1+Parameters!$C$8)^(A65-$A$9)))-Parameters!$C$9*Y65</f>
        <v>7.292269623756871E-2</v>
      </c>
      <c r="F65" s="24">
        <f>F64*(1+E65)</f>
        <v>4.3845934793482604</v>
      </c>
      <c r="G65" s="116">
        <v>1227.2</v>
      </c>
      <c r="H65" s="14">
        <f t="shared" ref="H65:K65" si="69">H11</f>
        <v>13748.398137477629</v>
      </c>
      <c r="I65" s="14">
        <f t="shared" si="69"/>
        <v>59277.541479991487</v>
      </c>
      <c r="J65" s="14">
        <f t="shared" si="69"/>
        <v>29881.531838158284</v>
      </c>
      <c r="K65" s="14">
        <f t="shared" si="69"/>
        <v>100767.29344666607</v>
      </c>
      <c r="L65" s="131">
        <f t="shared" si="57"/>
        <v>44.857069424712002</v>
      </c>
      <c r="M65" s="131">
        <f t="shared" si="58"/>
        <v>69.824529071000001</v>
      </c>
      <c r="N65" s="137">
        <f>Parameters!P56</f>
        <v>73025939.617469117</v>
      </c>
      <c r="O65" s="139">
        <f>(((L65*Parameters!L56)+(M65*Parameters!M56))*Parameters!$C$24)/1000000</f>
        <v>4.4803819644379033</v>
      </c>
      <c r="P65" s="138">
        <f>(H65+I65)/Parameters!B41</f>
        <v>0.29632023482072567</v>
      </c>
      <c r="Q65" s="39">
        <f>Parameters!O56/Parameters!B56</f>
        <v>0.40888742017942015</v>
      </c>
      <c r="R65" s="113">
        <f>(IF(P65-BAU!N9 &lt; 0, 0, P65-BAU!N9))+(IF(BAU!O9-Q65 &lt; 0,  0, BAU!O9-Q65))</f>
        <v>4.2021652698800704E-2</v>
      </c>
      <c r="S65" s="39">
        <f t="shared" si="64"/>
        <v>4.2021652698800704E-2</v>
      </c>
      <c r="T65" s="32">
        <f t="shared" si="65"/>
        <v>5.1429538785157672E-2</v>
      </c>
      <c r="U65" s="75">
        <f>T65*(S65^Parameters!$C$31)</f>
        <v>7.1934526794887971E-6</v>
      </c>
      <c r="V65" s="21">
        <f t="shared" si="66"/>
        <v>0.40888742017942015</v>
      </c>
      <c r="W65" s="21">
        <f t="shared" si="59"/>
        <v>480.70073804330633</v>
      </c>
      <c r="X65" s="20">
        <f>X64+(W65/Parameters!$C$12)</f>
        <v>827.80093075135278</v>
      </c>
      <c r="Y65" s="23">
        <f>X65*Parameters!$C$13</f>
        <v>1.490041675352435</v>
      </c>
      <c r="Z65" s="32">
        <f t="shared" si="67"/>
        <v>0.99472420081694668</v>
      </c>
      <c r="AA65" s="28">
        <f>((Parameters!$C$18*F65*Z65)/(D65+B65))^(1/(1-Parameters!$C$21))</f>
        <v>11.510584472736785</v>
      </c>
      <c r="AB65" s="24">
        <f>(1-U65)*Z65*F65*(AA65^Parameters!$C$21)</f>
        <v>11.589583910695538</v>
      </c>
      <c r="AC65" s="23">
        <f>(1-Parameters!$C$18)*AB65</f>
        <v>10.198833841412073</v>
      </c>
      <c r="AD65" s="30">
        <f t="shared" si="68"/>
        <v>2.3222733844808094</v>
      </c>
      <c r="AE65" s="23">
        <f>1/(1+Parameters!$C$22*(A65-$A$9))</f>
        <v>0.86956521739130443</v>
      </c>
      <c r="AF65" s="30">
        <f t="shared" si="60"/>
        <v>97.919546900885862</v>
      </c>
      <c r="AG65" s="30">
        <f>BAU!AF9</f>
        <v>11.74488149448006</v>
      </c>
      <c r="AH65" s="30">
        <f t="shared" si="61"/>
        <v>-7.530409430558878</v>
      </c>
      <c r="AI65" s="4"/>
      <c r="AJ65" s="4"/>
      <c r="AK65" s="4"/>
      <c r="AL65" s="1"/>
      <c r="AM65" s="1"/>
      <c r="AN65" s="1"/>
      <c r="AO65" s="1"/>
      <c r="AP65" s="1"/>
      <c r="AQ65" s="1"/>
      <c r="AR65" s="1"/>
      <c r="AS65" s="1"/>
      <c r="AT65" s="1"/>
      <c r="AU65" s="1"/>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row>
    <row r="66" spans="1:113" x14ac:dyDescent="0.25">
      <c r="A66" s="22">
        <v>2025</v>
      </c>
      <c r="B66" s="27">
        <f>B65/(1+Parameters!$C$4)</f>
        <v>1.9755162962022753E-2</v>
      </c>
      <c r="C66" s="28">
        <f t="shared" si="62"/>
        <v>49.448122172237404</v>
      </c>
      <c r="D66" s="70">
        <f>Parameters!$C$19+(Parameters!$C$20*R66)</f>
        <v>0.1000977791334061</v>
      </c>
      <c r="E66" s="25">
        <f>($E$9/((1+Parameters!$C$8)^(A66-$A$9)))-Parameters!$C$9*Y66</f>
        <v>7.0505916920800202E-2</v>
      </c>
      <c r="F66" s="24">
        <f>F65*(1+E66)</f>
        <v>4.6937332629346713</v>
      </c>
      <c r="G66" s="116">
        <v>1401.8</v>
      </c>
      <c r="H66" s="14">
        <f t="shared" ref="H66:K66" si="70">H12</f>
        <v>23575.277537099944</v>
      </c>
      <c r="I66" s="14">
        <f t="shared" si="70"/>
        <v>79031.280607138498</v>
      </c>
      <c r="J66" s="14">
        <f t="shared" si="70"/>
        <v>27272.361473606685</v>
      </c>
      <c r="K66" s="14">
        <f t="shared" si="70"/>
        <v>100966.50990071571</v>
      </c>
      <c r="L66" s="131">
        <f t="shared" si="57"/>
        <v>44.767534355999999</v>
      </c>
      <c r="M66" s="131">
        <f t="shared" si="58"/>
        <v>69.133197100000004</v>
      </c>
      <c r="N66" s="137">
        <f>Parameters!P57</f>
        <v>102606558.14423844</v>
      </c>
      <c r="O66" s="139">
        <f>(((L66*Parameters!L57)+(M66*Parameters!M57))*Parameters!$C$24)/1000000</f>
        <v>6.1416367110980703</v>
      </c>
      <c r="P66" s="138">
        <f>(H66+I66)/Parameters!B42</f>
        <v>0.3666845964696584</v>
      </c>
      <c r="Q66" s="39">
        <f>Parameters!O57/Parameters!B57</f>
        <v>0.36082356342027461</v>
      </c>
      <c r="R66" s="113">
        <f>(IF(P66-BAU!N10 &lt; 0, 0, P66-BAU!N10))+(IF(BAU!O10-Q66 &lt; 0,  0, BAU!O10-Q66))</f>
        <v>9.7779133406092844E-2</v>
      </c>
      <c r="S66" s="39">
        <f t="shared" si="64"/>
        <v>9.7779133406092844E-2</v>
      </c>
      <c r="T66" s="32">
        <f t="shared" si="65"/>
        <v>4.7803451996296271E-2</v>
      </c>
      <c r="U66" s="75">
        <f>T66*(S66^Parameters!$C$31)</f>
        <v>7.1145686452763715E-5</v>
      </c>
      <c r="V66" s="21">
        <f t="shared" si="66"/>
        <v>0.36082356342027461</v>
      </c>
      <c r="W66" s="21">
        <f t="shared" si="59"/>
        <v>456.34554389369623</v>
      </c>
      <c r="X66" s="20">
        <f>X65+(W66/Parameters!$C$12)</f>
        <v>952.25880635872454</v>
      </c>
      <c r="Y66" s="23">
        <f>X66*Parameters!$C$13</f>
        <v>1.7140658514457041</v>
      </c>
      <c r="Z66" s="32">
        <f t="shared" si="67"/>
        <v>0.99303042490954285</v>
      </c>
      <c r="AA66" s="28">
        <f>((Parameters!$C$18*F66*Z66)/(D66+B66))^(1/(1-Parameters!$C$21))</f>
        <v>13.032343309959112</v>
      </c>
      <c r="AB66" s="24">
        <f>(1-U66)*Z66*F66*(AA66^Parameters!$C$21)</f>
        <v>13.015446342052746</v>
      </c>
      <c r="AC66" s="23">
        <f>(1-Parameters!$C$18)*AB66</f>
        <v>11.453592781006417</v>
      </c>
      <c r="AD66" s="30">
        <f t="shared" si="68"/>
        <v>2.4383034607821603</v>
      </c>
      <c r="AE66" s="23">
        <f>1/(1+Parameters!$C$22*(A66-$A$9))</f>
        <v>0.81632653061224481</v>
      </c>
      <c r="AF66" s="30">
        <f t="shared" si="60"/>
        <v>98.424104017751446</v>
      </c>
      <c r="AG66" s="30">
        <f>BAU!AF10</f>
        <v>13.267674708883096</v>
      </c>
      <c r="AH66" s="30">
        <f t="shared" si="61"/>
        <v>-12.472219098331047</v>
      </c>
      <c r="AI66" s="4"/>
      <c r="AJ66" s="4"/>
      <c r="AK66" s="4"/>
      <c r="AL66" s="1"/>
      <c r="AM66" s="1"/>
      <c r="AN66" s="1"/>
      <c r="AO66" s="1"/>
      <c r="AP66" s="1"/>
      <c r="AQ66" s="1"/>
      <c r="AR66" s="1"/>
      <c r="AS66" s="1"/>
      <c r="AT66" s="1"/>
      <c r="AU66" s="1"/>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row>
    <row r="67" spans="1:113" x14ac:dyDescent="0.25">
      <c r="A67" s="22">
        <v>2030</v>
      </c>
      <c r="B67" s="27">
        <f>B66/(1+Parameters!$C$4)</f>
        <v>1.8778672017131893E-2</v>
      </c>
      <c r="C67" s="28">
        <f>C66*(1+B67)</f>
        <v>50.376692240372918</v>
      </c>
      <c r="D67" s="70">
        <f>Parameters!$C$19+(Parameters!$C$20*R67)</f>
        <v>0.10022641139347668</v>
      </c>
      <c r="E67" s="25">
        <f>($E$9/((1+Parameters!$C$8)^(A67-$A$9)))-Parameters!$C$9*Y67</f>
        <v>6.8223104493647102E-2</v>
      </c>
      <c r="F67" s="24">
        <f t="shared" ref="F67:F70" si="71">F66*(1+E67)</f>
        <v>5.0139543177971708</v>
      </c>
      <c r="G67" s="116">
        <v>1481.4</v>
      </c>
      <c r="H67" s="14">
        <f t="shared" ref="H67:K67" si="72">H13</f>
        <v>43722.485301554501</v>
      </c>
      <c r="I67" s="14">
        <f t="shared" si="72"/>
        <v>105193.26992963694</v>
      </c>
      <c r="J67" s="14">
        <f t="shared" si="72"/>
        <v>20043.307146330913</v>
      </c>
      <c r="K67" s="14">
        <f t="shared" si="72"/>
        <v>81509.837198496054</v>
      </c>
      <c r="L67" s="131">
        <f t="shared" si="57"/>
        <v>44.678177999999996</v>
      </c>
      <c r="M67" s="131">
        <f t="shared" si="58"/>
        <v>68.448710000000005</v>
      </c>
      <c r="N67" s="137">
        <f>Parameters!P58</f>
        <v>148915755.23119143</v>
      </c>
      <c r="O67" s="139">
        <f>(((L67*Parameters!L58)+(M67*Parameters!M58))*Parameters!$C$24)/1000000</f>
        <v>8.6237804794518027</v>
      </c>
      <c r="P67" s="138">
        <f>(H67+I67)/Parameters!B43</f>
        <v>0.5022957451484964</v>
      </c>
      <c r="Q67" s="39">
        <f>Parameters!O58/Parameters!B58</f>
        <v>0.27493426970832441</v>
      </c>
      <c r="R67" s="113">
        <f>(IF(P67-BAU!N11 &lt; 0, 0, P67-BAU!N11))+(IF(BAU!O11-Q67 &lt; 0,  0, BAU!O11-Q67))</f>
        <v>0.2264113934766811</v>
      </c>
      <c r="S67" s="39">
        <f t="shared" si="64"/>
        <v>0.2264113934766811</v>
      </c>
      <c r="T67" s="32">
        <f t="shared" si="65"/>
        <v>4.4542152095595908E-2</v>
      </c>
      <c r="U67" s="75">
        <f>T67*(S67^Parameters!$C$31)</f>
        <v>6.9580312341208572E-4</v>
      </c>
      <c r="V67" s="21">
        <f t="shared" si="66"/>
        <v>0.27493426970832441</v>
      </c>
      <c r="W67" s="21">
        <f t="shared" si="59"/>
        <v>315.07306793799495</v>
      </c>
      <c r="X67" s="20">
        <f>X66+(W67/Parameters!$C$12)</f>
        <v>1038.1878248872686</v>
      </c>
      <c r="Y67" s="23">
        <f>X67*Parameters!$C$13</f>
        <v>1.8687380847970834</v>
      </c>
      <c r="Z67" s="32">
        <f t="shared" si="67"/>
        <v>0.99172672177259391</v>
      </c>
      <c r="AA67" s="28">
        <f>((Parameters!$C$18*F67*Z67)/(D67+B67))^(1/(1-Parameters!$C$21))</f>
        <v>14.688593151383383</v>
      </c>
      <c r="AB67" s="24">
        <f>(1-U67)*Z67*F67*(AA67^Parameters!$C$21)</f>
        <v>14.556674810836194</v>
      </c>
      <c r="AC67" s="23">
        <f>(1-Parameters!$C$18)*AB67</f>
        <v>12.809873833535852</v>
      </c>
      <c r="AD67" s="30">
        <f t="shared" si="68"/>
        <v>2.5502162667997075</v>
      </c>
      <c r="AE67" s="23">
        <f>1/(1+Parameters!$C$22*(A67-$A$9))</f>
        <v>0.76923076923076916</v>
      </c>
      <c r="AF67" s="30">
        <f t="shared" si="60"/>
        <v>98.824200014585841</v>
      </c>
      <c r="AG67" s="30">
        <f>BAU!AF11</f>
        <v>14.934834851616968</v>
      </c>
      <c r="AH67" s="30">
        <f t="shared" si="61"/>
        <v>-19.050451992019909</v>
      </c>
      <c r="AI67" s="4"/>
      <c r="AJ67" s="4"/>
      <c r="AK67" s="4"/>
      <c r="AL67" s="1"/>
      <c r="AM67" s="1"/>
      <c r="AN67" s="1"/>
      <c r="AO67" s="1"/>
      <c r="AP67" s="1"/>
      <c r="AQ67" s="1"/>
      <c r="AR67" s="1"/>
      <c r="AS67" s="1"/>
      <c r="AT67" s="1"/>
      <c r="AU67" s="1"/>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row>
    <row r="68" spans="1:113" x14ac:dyDescent="0.25">
      <c r="A68" s="22">
        <v>2035</v>
      </c>
      <c r="B68" s="27">
        <f>B67/(1+Parameters!$C$4)</f>
        <v>1.7850448685486589E-2</v>
      </c>
      <c r="C68" s="28">
        <f t="shared" ref="C68:C71" si="73">C67*(1+B68)</f>
        <v>51.27593880015425</v>
      </c>
      <c r="D68" s="70">
        <f>Parameters!$C$19+(Parameters!$C$20*R68)</f>
        <v>0.10031737334112974</v>
      </c>
      <c r="E68" s="25">
        <f>($E$9/((1+Parameters!$C$8)^(A68-$A$9)))-Parameters!$C$9*Y68</f>
        <v>6.6041526531316549E-2</v>
      </c>
      <c r="F68" s="24">
        <f t="shared" si="71"/>
        <v>5.3450835149027816</v>
      </c>
      <c r="G68" s="116">
        <v>1574.3</v>
      </c>
      <c r="H68" s="14">
        <f t="shared" ref="H68:K68" si="74">H14</f>
        <v>56901.485786933714</v>
      </c>
      <c r="I68" s="14">
        <f t="shared" si="74"/>
        <v>118459.12846488837</v>
      </c>
      <c r="J68" s="14">
        <f t="shared" si="74"/>
        <v>15560.399481870791</v>
      </c>
      <c r="K68" s="14">
        <f t="shared" si="74"/>
        <v>67714.283811454661</v>
      </c>
      <c r="L68" s="131">
        <f>L69*(1+0.002)</f>
        <v>44.588999999999999</v>
      </c>
      <c r="M68" s="131">
        <f>M69*(1+0.01)</f>
        <v>67.771000000000001</v>
      </c>
      <c r="N68" s="137">
        <f>Parameters!P59</f>
        <v>175360614.25182208</v>
      </c>
      <c r="O68" s="139">
        <f>(((L68*Parameters!L59)+(M68*Parameters!M59))*Parameters!$C$24)/1000000</f>
        <v>9.9535445835350753</v>
      </c>
      <c r="P68" s="138">
        <f>(H68+I68)/Parameters!B44</f>
        <v>0.57015668210272508</v>
      </c>
      <c r="Q68" s="39">
        <f>Parameters!O59/Parameters!B59</f>
        <v>0.22016204467360953</v>
      </c>
      <c r="R68" s="113">
        <f>(IF(P68-BAU!N12 &lt; 0, 0, P68-BAU!N12))+(IF(BAU!O12-Q68 &lt; 0,  0, BAU!O12-Q68))</f>
        <v>0.31737334112972593</v>
      </c>
      <c r="S68" s="39">
        <f t="shared" si="64"/>
        <v>0.31737334112972593</v>
      </c>
      <c r="T68" s="32">
        <f t="shared" si="65"/>
        <v>4.1600520376212674E-2</v>
      </c>
      <c r="U68" s="75">
        <f>T68*(S68^Parameters!$C$31)</f>
        <v>1.6730002508499324E-3</v>
      </c>
      <c r="V68" s="21">
        <f t="shared" si="66"/>
        <v>0.22016204467360953</v>
      </c>
      <c r="W68" s="21">
        <f t="shared" si="59"/>
        <v>236.59915558413479</v>
      </c>
      <c r="X68" s="20">
        <f>X67+(W68/Parameters!$C$12)</f>
        <v>1102.7148673193053</v>
      </c>
      <c r="Y68" s="23">
        <f>X68*Parameters!$C$13</f>
        <v>1.9848867611747496</v>
      </c>
      <c r="Z68" s="32">
        <f t="shared" si="67"/>
        <v>0.99067622144065359</v>
      </c>
      <c r="AA68" s="28">
        <f>((Parameters!$C$18*F68*Z68)/(D68+B68))^(1/(1-Parameters!$C$21))</f>
        <v>16.504932360428032</v>
      </c>
      <c r="AB68" s="24">
        <f>(1-U68)*Z68*F68*(AA68^Parameters!$C$21)</f>
        <v>16.225741420784829</v>
      </c>
      <c r="AC68" s="23">
        <f>(1-Parameters!$C$18)*AB68</f>
        <v>14.278652450290648</v>
      </c>
      <c r="AD68" s="30">
        <f t="shared" si="68"/>
        <v>2.658765586232521</v>
      </c>
      <c r="AE68" s="23">
        <f>1/(1+Parameters!$C$22*(A68-$A$9))</f>
        <v>0.72727272727272729</v>
      </c>
      <c r="AF68" s="30">
        <f t="shared" si="60"/>
        <v>99.149601078992717</v>
      </c>
      <c r="AG68" s="30">
        <f>BAU!AF12</f>
        <v>16.753616251228273</v>
      </c>
      <c r="AH68" s="30">
        <f t="shared" si="61"/>
        <v>-27.067277499959857</v>
      </c>
      <c r="AI68" s="4"/>
      <c r="AJ68" s="4"/>
      <c r="AK68" s="4"/>
      <c r="AL68" s="1"/>
      <c r="AM68" s="1"/>
      <c r="AN68" s="1"/>
      <c r="AO68" s="1"/>
      <c r="AP68" s="1"/>
      <c r="AQ68" s="1"/>
      <c r="AR68" s="1"/>
      <c r="AS68" s="1"/>
      <c r="AT68" s="1"/>
      <c r="AU68" s="1"/>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row>
    <row r="69" spans="1:113" x14ac:dyDescent="0.25">
      <c r="A69" s="22">
        <v>2040</v>
      </c>
      <c r="B69" s="27">
        <f>B68/(1+Parameters!$C$4)</f>
        <v>1.6968107115481548E-2</v>
      </c>
      <c r="C69" s="28">
        <f t="shared" si="73"/>
        <v>52.14599442216214</v>
      </c>
      <c r="D69" s="70">
        <f>Parameters!$C$19+(Parameters!$C$20*R69)</f>
        <v>0.10039191543708471</v>
      </c>
      <c r="E69" s="25">
        <f>($E$9/((1+Parameters!$C$8)^(A69-$A$9)))-Parameters!$C$9*Y69</f>
        <v>6.3951433988196471E-2</v>
      </c>
      <c r="F69" s="24">
        <f t="shared" si="71"/>
        <v>5.6869092704674831</v>
      </c>
      <c r="G69" s="116">
        <v>1689.8</v>
      </c>
      <c r="H69" s="14">
        <f t="shared" ref="H69:K69" si="75">H15</f>
        <v>69860.585141586096</v>
      </c>
      <c r="I69" s="14">
        <f t="shared" si="75"/>
        <v>133139.70793283489</v>
      </c>
      <c r="J69" s="14">
        <f t="shared" si="75"/>
        <v>12726.081927138761</v>
      </c>
      <c r="K69" s="14">
        <f t="shared" si="75"/>
        <v>54193.518151949807</v>
      </c>
      <c r="L69" s="132">
        <v>44.5</v>
      </c>
      <c r="M69" s="132">
        <v>67.099999999999994</v>
      </c>
      <c r="N69" s="137">
        <f>Parameters!P60</f>
        <v>203000293.07442099</v>
      </c>
      <c r="O69" s="139">
        <f>(((L69*Parameters!L60)+(M69*Parameters!M60))*Parameters!$C$24)/1000000</f>
        <v>11.345211402554471</v>
      </c>
      <c r="P69" s="138">
        <f>(H69+I69)/Parameters!B45</f>
        <v>0.63510905619225155</v>
      </c>
      <c r="Q69" s="39">
        <f>Parameters!O60/Parameters!B60</f>
        <v>0.16955046539072915</v>
      </c>
      <c r="R69" s="113">
        <f>(IF(P69-BAU!N13 &lt; 0, 0, P69-BAU!N13))+(IF(BAU!O13-Q69 &lt; 0,  0, BAU!O13-Q69))</f>
        <v>0.39191543708470722</v>
      </c>
      <c r="S69" s="39">
        <f t="shared" si="64"/>
        <v>0.39191543708470722</v>
      </c>
      <c r="T69" s="32">
        <f t="shared" si="65"/>
        <v>3.8940107443498684E-2</v>
      </c>
      <c r="U69" s="75">
        <f>T69*(S69^Parameters!$C$31)</f>
        <v>2.8270649219960201E-3</v>
      </c>
      <c r="V69" s="21">
        <f t="shared" si="66"/>
        <v>0.16955046539072915</v>
      </c>
      <c r="W69" s="21">
        <f t="shared" si="59"/>
        <v>174.22010467613032</v>
      </c>
      <c r="X69" s="20">
        <f>X68+(W69/Parameters!$C$12)</f>
        <v>1150.2294413218863</v>
      </c>
      <c r="Y69" s="23">
        <f>X69*Parameters!$C$13</f>
        <v>2.0704129943793954</v>
      </c>
      <c r="Z69" s="32">
        <f t="shared" si="67"/>
        <v>0.98986373111480763</v>
      </c>
      <c r="AA69" s="28">
        <f>((Parameters!$C$18*F69*Z69)/(D69+B69))^(1/(1-Parameters!$C$21))</f>
        <v>18.48649688446519</v>
      </c>
      <c r="AB69" s="24">
        <f>(1-U69)*Z69*F69*(AA69^Parameters!$C$21)</f>
        <v>18.028684666219593</v>
      </c>
      <c r="AC69" s="23">
        <f>(1-Parameters!$C$18)*AB69</f>
        <v>15.865242506273242</v>
      </c>
      <c r="AD69" s="30">
        <f t="shared" si="68"/>
        <v>2.7641307105327848</v>
      </c>
      <c r="AE69" s="23">
        <f>1/(1+Parameters!$C$22*(A69-$A$9))</f>
        <v>0.68965517241379315</v>
      </c>
      <c r="AF69" s="30">
        <f t="shared" si="60"/>
        <v>99.405754905910129</v>
      </c>
      <c r="AG69" s="30">
        <f>BAU!AF13</f>
        <v>18.731012679021322</v>
      </c>
      <c r="AH69" s="30">
        <f t="shared" si="61"/>
        <v>-36.623592638087182</v>
      </c>
      <c r="AI69" s="4"/>
      <c r="AJ69" s="4"/>
      <c r="AK69" s="4"/>
      <c r="AL69" s="1"/>
      <c r="AM69" s="1"/>
      <c r="AN69" s="1"/>
      <c r="AO69" s="1"/>
      <c r="AP69" s="1"/>
      <c r="AQ69" s="1"/>
      <c r="AR69" s="1"/>
      <c r="AS69" s="1"/>
      <c r="AT69" s="1"/>
      <c r="AU69" s="1"/>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row>
    <row r="70" spans="1:113" x14ac:dyDescent="0.25">
      <c r="A70" s="22">
        <v>2045</v>
      </c>
      <c r="B70" s="27">
        <f>B69/(1+Parameters!$C$4)</f>
        <v>1.6129379387339875E-2</v>
      </c>
      <c r="C70" s="28">
        <f t="shared" si="73"/>
        <v>52.987076949727296</v>
      </c>
      <c r="D70" s="70">
        <f>Parameters!$C$19+(Parameters!$C$20*R70)</f>
        <v>0.10045568002122873</v>
      </c>
      <c r="E70" s="25">
        <f>($E$9/((1+Parameters!$C$8)^(A70-$A$9)))-Parameters!$C$9*Y70</f>
        <v>6.1937666844225643E-2</v>
      </c>
      <c r="F70" s="24">
        <f t="shared" si="71"/>
        <v>6.0391431622350371</v>
      </c>
      <c r="G70" s="116">
        <v>1814.7</v>
      </c>
      <c r="H70" s="14">
        <f t="shared" ref="H70:K70" si="76">H16</f>
        <v>80152.999476753161</v>
      </c>
      <c r="I70" s="14">
        <f t="shared" si="76"/>
        <v>141245.98279090913</v>
      </c>
      <c r="J70" s="14">
        <f t="shared" si="76"/>
        <v>9785.4371310306251</v>
      </c>
      <c r="K70" s="14">
        <f t="shared" si="76"/>
        <v>46006.597989740636</v>
      </c>
      <c r="L70" s="131">
        <f>L69*(1+0.002)</f>
        <v>44.588999999999999</v>
      </c>
      <c r="M70" s="131">
        <f>M69*(1-0.01)</f>
        <v>66.428999999999988</v>
      </c>
      <c r="N70" s="137">
        <f>Parameters!P61</f>
        <v>221398982.26766229</v>
      </c>
      <c r="O70" s="139">
        <f>(((L70*Parameters!L61)+(M70*Parameters!M61))*Parameters!$C$24)/1000000</f>
        <v>12.206574415534494</v>
      </c>
      <c r="P70" s="138">
        <f>(H70+I70)/Parameters!B46</f>
        <v>0.67752812354888481</v>
      </c>
      <c r="Q70" s="39">
        <f>Parameters!O61/Parameters!B61</f>
        <v>0.14079000584190896</v>
      </c>
      <c r="R70" s="113">
        <f>(IF(P70-BAU!N14 &lt; 0, 0, P70-BAU!N14))+(IF(BAU!O14-Q70 &lt; 0,  0, BAU!O14-Q70))</f>
        <v>0.45568002122873286</v>
      </c>
      <c r="S70" s="39">
        <f t="shared" si="64"/>
        <v>0.45568002122873286</v>
      </c>
      <c r="T70" s="32">
        <f t="shared" si="65"/>
        <v>3.6528248041784908E-2</v>
      </c>
      <c r="U70" s="75">
        <f>T70*(S70^Parameters!$C$31)</f>
        <v>4.0446114705126853E-3</v>
      </c>
      <c r="V70" s="21">
        <f t="shared" si="66"/>
        <v>0.14079000584190896</v>
      </c>
      <c r="W70" s="21">
        <f t="shared" si="59"/>
        <v>139.06919513490283</v>
      </c>
      <c r="X70" s="20">
        <f>X69+(W70/Parameters!$C$12)</f>
        <v>1188.1574036314053</v>
      </c>
      <c r="Y70" s="23">
        <f>X70*Parameters!$C$13</f>
        <v>2.1386833265365293</v>
      </c>
      <c r="Z70" s="32">
        <f t="shared" si="67"/>
        <v>0.98919158228758397</v>
      </c>
      <c r="AA70" s="28">
        <f>((Parameters!$C$18*F70*Z70)/(D70+B70))^(1/(1-Parameters!$C$21))</f>
        <v>20.63748676791214</v>
      </c>
      <c r="AB70" s="24">
        <f>(1-U70)*Z70*F70*(AA70^Parameters!$C$21)</f>
        <v>19.969093284915495</v>
      </c>
      <c r="AC70" s="23">
        <f>(1-Parameters!$C$18)*AB70</f>
        <v>17.572802090725634</v>
      </c>
      <c r="AD70" s="30">
        <f t="shared" si="68"/>
        <v>2.8663523710270371</v>
      </c>
      <c r="AE70" s="23">
        <f>1/(1+Parameters!$C$22*(A70-$A$9))</f>
        <v>0.65573770491803285</v>
      </c>
      <c r="AF70" s="30">
        <f t="shared" si="60"/>
        <v>99.59320239255274</v>
      </c>
      <c r="AG70" s="30">
        <f>BAU!AF14</f>
        <v>20.873702061172605</v>
      </c>
      <c r="AH70" s="30">
        <f t="shared" si="61"/>
        <v>-47.932574836934116</v>
      </c>
      <c r="AI70" s="4"/>
      <c r="AJ70" s="4"/>
      <c r="AK70" s="4"/>
      <c r="AL70" s="1"/>
      <c r="AM70" s="1"/>
      <c r="AN70" s="1"/>
      <c r="AO70" s="1"/>
      <c r="AP70" s="1"/>
      <c r="AQ70" s="1"/>
      <c r="AR70" s="1"/>
      <c r="AS70" s="1"/>
      <c r="AT70" s="1"/>
      <c r="AU70" s="1"/>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row>
    <row r="71" spans="1:113" ht="15.75" thickBot="1" x14ac:dyDescent="0.3">
      <c r="A71" s="22">
        <v>2050</v>
      </c>
      <c r="B71" s="27">
        <f>B70/(1+Parameters!$C$4)</f>
        <v>1.533210968378315E-2</v>
      </c>
      <c r="C71" s="28">
        <f t="shared" si="73"/>
        <v>53.79948062534357</v>
      </c>
      <c r="D71" s="70">
        <f>Parameters!$C$19+(Parameters!$C$20*R71)</f>
        <v>0.10049864704468618</v>
      </c>
      <c r="E71" s="25">
        <f>($E$9/((1+Parameters!$C$8)^(A71-$A$9)))-Parameters!$C$9*Y71</f>
        <v>5.999277471790352E-2</v>
      </c>
      <c r="F71" s="24">
        <f>F70*(1+E71)</f>
        <v>6.4014481174561704</v>
      </c>
      <c r="G71" s="116">
        <v>1946.6</v>
      </c>
      <c r="H71" s="14">
        <f t="shared" ref="H71:K71" si="77">H17</f>
        <v>90965.710287184847</v>
      </c>
      <c r="I71" s="14">
        <f t="shared" si="77"/>
        <v>148539.01722352521</v>
      </c>
      <c r="J71" s="14">
        <f t="shared" si="77"/>
        <v>6133.3047331966181</v>
      </c>
      <c r="K71" s="14">
        <f t="shared" si="77"/>
        <v>39641.889162162595</v>
      </c>
      <c r="L71" s="131">
        <f>L70*(1+0.002)</f>
        <v>44.678177999999996</v>
      </c>
      <c r="M71" s="131">
        <f>M70*(1-0.01)</f>
        <v>65.764709999999994</v>
      </c>
      <c r="N71" s="137">
        <f>Parameters!P62</f>
        <v>239504727.51071006</v>
      </c>
      <c r="O71" s="140">
        <f>(((L71*Parameters!L62)+(M71*Parameters!M62))*Parameters!$C$24)/1000000</f>
        <v>13.031888028181314</v>
      </c>
      <c r="P71" s="138">
        <f>(H71+I71)/Parameters!B47</f>
        <v>0.7153303157959251</v>
      </c>
      <c r="Q71" s="39">
        <f>Parameters!O62/Parameters!B62</f>
        <v>0.11839868627164686</v>
      </c>
      <c r="R71" s="113">
        <f>(IF(P71-BAU!N15 &lt; 0, 0, P71-BAU!N15))+(IF(BAU!O15-Q71 &lt; 0,  0, BAU!O15-Q71))</f>
        <v>0.49864704468618015</v>
      </c>
      <c r="S71" s="39">
        <f t="shared" si="64"/>
        <v>0.49864704468618015</v>
      </c>
      <c r="T71" s="32">
        <f t="shared" si="65"/>
        <v>3.4336817086174407E-2</v>
      </c>
      <c r="U71" s="75">
        <f>T71*(S71^Parameters!$C$31)</f>
        <v>4.8930666727095258E-3</v>
      </c>
      <c r="V71" s="21">
        <f>Q71</f>
        <v>0.11839868627164686</v>
      </c>
      <c r="W71" s="21">
        <f t="shared" si="59"/>
        <v>115.54926356543997</v>
      </c>
      <c r="X71" s="20">
        <f>X70+(W71/Parameters!$C$12)</f>
        <v>1219.6708391492525</v>
      </c>
      <c r="Y71" s="23">
        <f>X71*Parameters!$C$13</f>
        <v>2.1954075104686543</v>
      </c>
      <c r="Z71" s="32">
        <f t="shared" si="67"/>
        <v>0.98861724950935626</v>
      </c>
      <c r="AA71" s="28">
        <f>((Parameters!$C$18*F71*Z71)/(D71+B71))^(1/(1-Parameters!$C$21))</f>
        <v>22.96710611644</v>
      </c>
      <c r="AB71" s="24">
        <f>(1-U71)*Z71*F71*(AA71^Parameters!$C$21)</f>
        <v>22.060668911362704</v>
      </c>
      <c r="AC71" s="23">
        <f>(1-Parameters!$C$18)*AB71</f>
        <v>19.41338864199918</v>
      </c>
      <c r="AD71" s="30">
        <f t="shared" si="68"/>
        <v>2.9659629642203411</v>
      </c>
      <c r="AE71" s="23">
        <f>1/(1+Parameters!$C$22*(A71-$A$9))</f>
        <v>0.625</v>
      </c>
      <c r="AF71" s="30">
        <f t="shared" si="60"/>
        <v>99.729541893161766</v>
      </c>
      <c r="AG71" s="30">
        <f>BAU!AF15</f>
        <v>23.187993404994479</v>
      </c>
      <c r="AH71" s="30">
        <f t="shared" si="61"/>
        <v>-60.649472253617944</v>
      </c>
      <c r="AI71" s="4"/>
      <c r="AJ71" s="4"/>
      <c r="AK71" s="4"/>
      <c r="AL71" s="1"/>
      <c r="AM71" s="1"/>
      <c r="AN71" s="1"/>
      <c r="AO71" s="1"/>
      <c r="AP71" s="1"/>
      <c r="AQ71" s="1"/>
      <c r="AR71" s="1"/>
      <c r="AS71" s="1"/>
      <c r="AT71" s="1"/>
      <c r="AU71" s="1"/>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row>
    <row r="72" spans="1:113" ht="56.25" x14ac:dyDescent="0.25">
      <c r="A72" s="3"/>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7"/>
      <c r="AD72" s="7"/>
      <c r="AE72" s="33" t="s">
        <v>78</v>
      </c>
      <c r="AF72" s="88">
        <f>SUM(AF63:AF71)</f>
        <v>886.89556348905614</v>
      </c>
      <c r="AG72" s="108"/>
      <c r="AH72" s="76"/>
      <c r="AI72" s="4"/>
      <c r="AJ72" s="4"/>
      <c r="AK72" s="4"/>
      <c r="AL72" s="1"/>
      <c r="AM72" s="1"/>
      <c r="AN72" s="1"/>
      <c r="AO72" s="1"/>
      <c r="AP72" s="1"/>
      <c r="AQ72" s="1"/>
      <c r="AR72" s="1"/>
      <c r="AS72" s="1"/>
      <c r="AT72" s="1"/>
      <c r="AU72" s="1"/>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row>
    <row r="73" spans="1:113" x14ac:dyDescent="0.25">
      <c r="A73" s="3"/>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7"/>
      <c r="AD73" s="7"/>
      <c r="AE73" s="4"/>
      <c r="AF73" s="4"/>
      <c r="AG73" s="4"/>
      <c r="AH73" s="4"/>
      <c r="AI73" s="4"/>
      <c r="AJ73" s="4"/>
      <c r="AK73" s="4"/>
      <c r="AL73" s="1"/>
      <c r="AM73" s="1"/>
      <c r="AN73" s="1"/>
      <c r="AO73" s="1"/>
      <c r="AP73" s="1"/>
      <c r="AQ73" s="1"/>
      <c r="AR73" s="1"/>
      <c r="AS73" s="1"/>
      <c r="AT73" s="1"/>
      <c r="AU73" s="1"/>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row>
    <row r="74" spans="1:113" x14ac:dyDescent="0.25">
      <c r="A74" s="3"/>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7"/>
      <c r="AD74" s="7"/>
      <c r="AE74" s="4"/>
      <c r="AF74" s="4"/>
      <c r="AG74" s="4"/>
      <c r="AH74" s="4"/>
      <c r="AI74" s="4"/>
      <c r="AJ74" s="4"/>
      <c r="AK74" s="4"/>
      <c r="AL74" s="1"/>
      <c r="AM74" s="1"/>
      <c r="AN74" s="1"/>
      <c r="AO74" s="1"/>
      <c r="AP74" s="1"/>
      <c r="AQ74" s="1"/>
      <c r="AR74" s="1"/>
      <c r="AS74" s="1"/>
      <c r="AT74" s="1"/>
      <c r="AU74" s="1"/>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row>
    <row r="75" spans="1:113" ht="18.75" x14ac:dyDescent="0.3">
      <c r="A75" s="31" t="s">
        <v>294</v>
      </c>
      <c r="E75" s="31"/>
      <c r="AI75" s="4"/>
      <c r="AJ75" s="4"/>
      <c r="AK75" s="4"/>
      <c r="AL75" s="1"/>
      <c r="AM75" s="1"/>
      <c r="AN75" s="1"/>
      <c r="AO75" s="1"/>
      <c r="AP75" s="1"/>
      <c r="AQ75" s="1"/>
      <c r="AR75" s="1"/>
      <c r="AS75" s="1"/>
      <c r="AT75" s="1"/>
      <c r="AU75" s="1"/>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row>
    <row r="76" spans="1:113" x14ac:dyDescent="0.25">
      <c r="A76" s="16" t="s">
        <v>25</v>
      </c>
      <c r="B76" s="168" t="s">
        <v>68</v>
      </c>
      <c r="C76" s="169"/>
      <c r="D76" s="169"/>
      <c r="E76" s="169"/>
      <c r="F76" s="170"/>
      <c r="G76" s="128"/>
      <c r="H76" s="165" t="s">
        <v>116</v>
      </c>
      <c r="I76" s="166"/>
      <c r="J76" s="166"/>
      <c r="K76" s="166"/>
      <c r="L76" s="166"/>
      <c r="M76" s="166"/>
      <c r="N76" s="166"/>
      <c r="O76" s="166"/>
      <c r="P76" s="166"/>
      <c r="Q76" s="166"/>
      <c r="R76" s="166"/>
      <c r="S76" s="166"/>
      <c r="T76" s="166"/>
      <c r="U76" s="166"/>
      <c r="V76" s="179" t="s">
        <v>39</v>
      </c>
      <c r="W76" s="179"/>
      <c r="X76" s="179"/>
      <c r="Y76" s="179"/>
      <c r="Z76" s="179"/>
      <c r="AA76" s="186" t="s">
        <v>79</v>
      </c>
      <c r="AB76" s="186"/>
      <c r="AC76" s="187"/>
      <c r="AD76" s="174" t="s">
        <v>40</v>
      </c>
      <c r="AE76" s="175"/>
      <c r="AF76" s="175"/>
      <c r="AG76" s="175"/>
      <c r="AH76" s="175"/>
      <c r="AI76" s="4"/>
      <c r="AJ76" s="4"/>
      <c r="AK76" s="4"/>
      <c r="AL76" s="1"/>
      <c r="AM76" s="1"/>
      <c r="AN76" s="1"/>
      <c r="AO76" s="1"/>
      <c r="AP76" s="1"/>
      <c r="AQ76" s="1"/>
      <c r="AR76" s="1"/>
      <c r="AS76" s="1"/>
      <c r="AT76" s="1"/>
      <c r="AU76" s="1"/>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row>
    <row r="77" spans="1:113" x14ac:dyDescent="0.25">
      <c r="A77" s="36"/>
      <c r="B77" s="171"/>
      <c r="C77" s="172"/>
      <c r="D77" s="172"/>
      <c r="E77" s="172"/>
      <c r="F77" s="173"/>
      <c r="G77" s="129"/>
      <c r="H77" s="162" t="s">
        <v>94</v>
      </c>
      <c r="I77" s="163"/>
      <c r="J77" s="163"/>
      <c r="K77" s="163"/>
      <c r="L77" s="190" t="s">
        <v>107</v>
      </c>
      <c r="M77" s="191"/>
      <c r="N77" s="192"/>
      <c r="O77" s="190" t="s">
        <v>99</v>
      </c>
      <c r="P77" s="191"/>
      <c r="Q77" s="191"/>
      <c r="R77" s="191"/>
      <c r="S77" s="191"/>
      <c r="T77" s="191"/>
      <c r="U77" s="191"/>
      <c r="V77" s="181"/>
      <c r="W77" s="181"/>
      <c r="X77" s="181"/>
      <c r="Y77" s="181"/>
      <c r="Z77" s="181"/>
      <c r="AA77" s="188"/>
      <c r="AB77" s="188"/>
      <c r="AC77" s="189"/>
      <c r="AD77" s="176"/>
      <c r="AE77" s="177"/>
      <c r="AF77" s="177"/>
      <c r="AG77" s="177"/>
      <c r="AH77" s="177"/>
      <c r="AI77" s="4"/>
      <c r="AJ77" s="4"/>
      <c r="AK77" s="4"/>
      <c r="AL77" s="1"/>
      <c r="AM77" s="1"/>
      <c r="AN77" s="1"/>
      <c r="AO77" s="1"/>
      <c r="AP77" s="1"/>
      <c r="AQ77" s="1"/>
      <c r="AR77" s="1"/>
      <c r="AS77" s="1"/>
      <c r="AT77" s="1"/>
      <c r="AU77" s="1"/>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row>
    <row r="78" spans="1:113" ht="69" thickBot="1" x14ac:dyDescent="0.3">
      <c r="A78" s="17" t="s">
        <v>43</v>
      </c>
      <c r="B78" s="18" t="s">
        <v>31</v>
      </c>
      <c r="C78" s="18" t="s">
        <v>59</v>
      </c>
      <c r="D78" s="18" t="s">
        <v>31</v>
      </c>
      <c r="E78" s="18" t="s">
        <v>31</v>
      </c>
      <c r="F78" s="18" t="s">
        <v>31</v>
      </c>
      <c r="G78" s="18" t="s">
        <v>250</v>
      </c>
      <c r="H78" s="34" t="s">
        <v>95</v>
      </c>
      <c r="I78" s="34" t="s">
        <v>95</v>
      </c>
      <c r="J78" s="34" t="s">
        <v>95</v>
      </c>
      <c r="K78" s="34" t="s">
        <v>95</v>
      </c>
      <c r="L78" s="34" t="s">
        <v>309</v>
      </c>
      <c r="M78" s="34" t="s">
        <v>309</v>
      </c>
      <c r="N78" s="34" t="s">
        <v>237</v>
      </c>
      <c r="O78" s="34" t="s">
        <v>322</v>
      </c>
      <c r="P78" s="34" t="s">
        <v>100</v>
      </c>
      <c r="Q78" s="34" t="s">
        <v>100</v>
      </c>
      <c r="R78" s="34" t="s">
        <v>215</v>
      </c>
      <c r="S78" s="34" t="s">
        <v>138</v>
      </c>
      <c r="T78" s="34" t="s">
        <v>122</v>
      </c>
      <c r="U78" s="34" t="s">
        <v>122</v>
      </c>
      <c r="V78" s="19" t="s">
        <v>216</v>
      </c>
      <c r="W78" s="19" t="s">
        <v>130</v>
      </c>
      <c r="X78" s="19" t="s">
        <v>31</v>
      </c>
      <c r="Y78" s="19" t="s">
        <v>49</v>
      </c>
      <c r="Z78" s="19" t="s">
        <v>48</v>
      </c>
      <c r="AA78" s="29" t="s">
        <v>233</v>
      </c>
      <c r="AB78" s="29" t="s">
        <v>233</v>
      </c>
      <c r="AC78" s="29" t="s">
        <v>233</v>
      </c>
      <c r="AD78" s="26" t="s">
        <v>19</v>
      </c>
      <c r="AE78" s="26" t="s">
        <v>4</v>
      </c>
      <c r="AF78" s="26" t="s">
        <v>4</v>
      </c>
      <c r="AG78" s="26" t="s">
        <v>234</v>
      </c>
      <c r="AH78" s="26" t="s">
        <v>232</v>
      </c>
      <c r="AI78" s="4"/>
      <c r="AJ78" s="4"/>
      <c r="AK78" s="4"/>
      <c r="AL78" s="1"/>
      <c r="AM78" s="1"/>
      <c r="AN78" s="1"/>
      <c r="AO78" s="1"/>
      <c r="AP78" s="1"/>
      <c r="AQ78" s="1"/>
      <c r="AR78" s="1"/>
      <c r="AS78" s="1"/>
      <c r="AT78" s="1"/>
      <c r="AU78" s="1"/>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row>
    <row r="79" spans="1:113" ht="63.75" x14ac:dyDescent="0.25">
      <c r="A79" s="10" t="s">
        <v>0</v>
      </c>
      <c r="B79" s="11" t="s">
        <v>50</v>
      </c>
      <c r="C79" s="11" t="s">
        <v>11</v>
      </c>
      <c r="D79" s="11" t="s">
        <v>133</v>
      </c>
      <c r="E79" s="11" t="s">
        <v>60</v>
      </c>
      <c r="F79" s="11" t="s">
        <v>61</v>
      </c>
      <c r="G79" s="11" t="s">
        <v>251</v>
      </c>
      <c r="H79" s="11" t="s">
        <v>96</v>
      </c>
      <c r="I79" s="11" t="s">
        <v>97</v>
      </c>
      <c r="J79" s="11" t="s">
        <v>98</v>
      </c>
      <c r="K79" s="11" t="s">
        <v>101</v>
      </c>
      <c r="L79" s="11" t="s">
        <v>299</v>
      </c>
      <c r="M79" s="11" t="s">
        <v>300</v>
      </c>
      <c r="N79" s="109" t="s">
        <v>236</v>
      </c>
      <c r="O79" s="135" t="s">
        <v>239</v>
      </c>
      <c r="P79" s="11" t="s">
        <v>104</v>
      </c>
      <c r="Q79" s="11" t="s">
        <v>212</v>
      </c>
      <c r="R79" s="11" t="s">
        <v>214</v>
      </c>
      <c r="S79" s="11" t="s">
        <v>126</v>
      </c>
      <c r="T79" s="11" t="s">
        <v>125</v>
      </c>
      <c r="U79" s="11" t="s">
        <v>137</v>
      </c>
      <c r="V79" s="11" t="s">
        <v>136</v>
      </c>
      <c r="W79" s="11" t="s">
        <v>217</v>
      </c>
      <c r="X79" s="11" t="s">
        <v>88</v>
      </c>
      <c r="Y79" s="11" t="s">
        <v>14</v>
      </c>
      <c r="Z79" s="11" t="s">
        <v>15</v>
      </c>
      <c r="AA79" s="11" t="s">
        <v>45</v>
      </c>
      <c r="AB79" s="11" t="s">
        <v>82</v>
      </c>
      <c r="AC79" s="11" t="s">
        <v>83</v>
      </c>
      <c r="AD79" s="11" t="s">
        <v>26</v>
      </c>
      <c r="AE79" s="11" t="s">
        <v>16</v>
      </c>
      <c r="AF79" s="11" t="s">
        <v>17</v>
      </c>
      <c r="AG79" s="11" t="s">
        <v>227</v>
      </c>
      <c r="AH79" s="11" t="s">
        <v>141</v>
      </c>
      <c r="AI79" s="4"/>
      <c r="AJ79" s="4"/>
      <c r="AK79" s="4"/>
      <c r="AL79" s="1"/>
      <c r="AM79" s="1"/>
      <c r="AN79" s="1"/>
      <c r="AO79" s="1"/>
      <c r="AP79" s="1"/>
      <c r="AQ79" s="1"/>
      <c r="AR79" s="1"/>
      <c r="AS79" s="1"/>
      <c r="AT79" s="1"/>
      <c r="AU79" s="1"/>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row>
    <row r="80" spans="1:113" x14ac:dyDescent="0.25">
      <c r="A80" s="10" t="s">
        <v>9</v>
      </c>
      <c r="B80" s="11" t="s">
        <v>51</v>
      </c>
      <c r="C80" s="11" t="s">
        <v>10</v>
      </c>
      <c r="D80" s="11" t="s">
        <v>134</v>
      </c>
      <c r="E80" s="11" t="s">
        <v>33</v>
      </c>
      <c r="F80" s="11" t="s">
        <v>30</v>
      </c>
      <c r="G80" s="11" t="s">
        <v>129</v>
      </c>
      <c r="H80" s="11" t="s">
        <v>84</v>
      </c>
      <c r="I80" s="11" t="s">
        <v>85</v>
      </c>
      <c r="J80" s="11" t="s">
        <v>86</v>
      </c>
      <c r="K80" s="11" t="s">
        <v>106</v>
      </c>
      <c r="L80" s="11" t="s">
        <v>89</v>
      </c>
      <c r="M80" s="11" t="s">
        <v>90</v>
      </c>
      <c r="N80" s="11" t="s">
        <v>235</v>
      </c>
      <c r="O80" s="136" t="s">
        <v>121</v>
      </c>
      <c r="P80" s="11" t="s">
        <v>105</v>
      </c>
      <c r="Q80" s="11" t="s">
        <v>213</v>
      </c>
      <c r="R80" s="11" t="s">
        <v>115</v>
      </c>
      <c r="S80" s="11" t="s">
        <v>127</v>
      </c>
      <c r="T80" s="11" t="s">
        <v>87</v>
      </c>
      <c r="U80" s="11" t="s">
        <v>119</v>
      </c>
      <c r="V80" s="11" t="s">
        <v>128</v>
      </c>
      <c r="W80" s="11" t="s">
        <v>62</v>
      </c>
      <c r="X80" s="11" t="s">
        <v>24</v>
      </c>
      <c r="Y80" s="11" t="s">
        <v>135</v>
      </c>
      <c r="Z80" s="11" t="s">
        <v>23</v>
      </c>
      <c r="AA80" s="11" t="s">
        <v>44</v>
      </c>
      <c r="AB80" s="11" t="s">
        <v>47</v>
      </c>
      <c r="AC80" s="11" t="s">
        <v>13</v>
      </c>
      <c r="AD80" s="11" t="s">
        <v>18</v>
      </c>
      <c r="AE80" s="11" t="s">
        <v>20</v>
      </c>
      <c r="AF80" s="11" t="s">
        <v>21</v>
      </c>
      <c r="AG80" s="11" t="s">
        <v>228</v>
      </c>
      <c r="AH80" s="11" t="s">
        <v>142</v>
      </c>
      <c r="AI80" s="4"/>
      <c r="AJ80" s="4"/>
      <c r="AK80" s="4"/>
      <c r="AL80" s="1"/>
      <c r="AM80" s="1"/>
      <c r="AN80" s="1"/>
      <c r="AO80" s="1"/>
      <c r="AP80" s="1"/>
      <c r="AQ80" s="1"/>
      <c r="AR80" s="1"/>
      <c r="AS80" s="1"/>
      <c r="AT80" s="1"/>
      <c r="AU80" s="1"/>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row>
    <row r="81" spans="1:113" x14ac:dyDescent="0.25">
      <c r="A81" s="22">
        <v>2010</v>
      </c>
      <c r="B81" s="28">
        <f>Parameters!$C$3</f>
        <v>2.3E-2</v>
      </c>
      <c r="C81" s="28">
        <f>Parameters!$C$5</f>
        <v>46.486621</v>
      </c>
      <c r="D81" s="70">
        <f>Parameters!$C$19</f>
        <v>0.1</v>
      </c>
      <c r="E81" s="21">
        <f>Parameters!$C$7</f>
        <v>7.9000000000000001E-2</v>
      </c>
      <c r="F81" s="24">
        <f>Parameters!$C$6</f>
        <v>3.8</v>
      </c>
      <c r="G81" s="116">
        <f>11614/10</f>
        <v>1161.4000000000001</v>
      </c>
      <c r="H81" s="14">
        <f>H9</f>
        <v>5559.3172086930372</v>
      </c>
      <c r="I81" s="14">
        <f t="shared" ref="I81:K81" si="78">I9</f>
        <v>30473.280877728444</v>
      </c>
      <c r="J81" s="14">
        <f t="shared" si="78"/>
        <v>47720.347945502341</v>
      </c>
      <c r="K81" s="14">
        <f t="shared" si="78"/>
        <v>166313.54618313035</v>
      </c>
      <c r="L81" s="131">
        <f t="shared" ref="L81:L85" si="79">L82*(1+0.021)</f>
        <v>52.845267498220579</v>
      </c>
      <c r="M81" s="131">
        <f t="shared" ref="M81:M85" si="80">M82*(1+0.01)</f>
        <v>71.228002105327107</v>
      </c>
      <c r="N81" s="137">
        <f>Parameters!P54</f>
        <v>36032598.086421482</v>
      </c>
      <c r="O81" s="139">
        <f>(((L81*Parameters!L54)+(M81*Parameters!M54))*Parameters!$C$24)/1000000</f>
        <v>2.3216495508359394</v>
      </c>
      <c r="P81" s="138">
        <f>(H81+I81)/Parameters!B39</f>
        <v>0.12078505660505993</v>
      </c>
      <c r="Q81" s="39">
        <f>Parameters!O54/Parameters!B54</f>
        <v>0.55750049002122004</v>
      </c>
      <c r="R81" s="113">
        <f>(IF(P81-BAU!N7 &lt; 0, 0, P81-BAU!N7))+(IF(BAU!O7-Q81 &lt; 0,  0, BAU!O7-Q81))</f>
        <v>8.4784719799987918E-5</v>
      </c>
      <c r="S81" s="39">
        <f>R81</f>
        <v>8.4784719799987918E-5</v>
      </c>
      <c r="T81" s="32">
        <f>Parameters!$C$30</f>
        <v>0.06</v>
      </c>
      <c r="U81" s="75">
        <f>T81*(S81^Parameters!$C$31)</f>
        <v>2.3847370562931092E-13</v>
      </c>
      <c r="V81" s="21">
        <f>Q81</f>
        <v>0.55750049002122004</v>
      </c>
      <c r="W81" s="21">
        <f t="shared" ref="W81:W89" si="81">(1-S81)*V81*G81</f>
        <v>647.4261726096247</v>
      </c>
      <c r="X81" s="20">
        <f>Parameters!$C$11</f>
        <v>530</v>
      </c>
      <c r="Y81" s="23">
        <f>X81*Parameters!$C$13</f>
        <v>0.95399999999999996</v>
      </c>
      <c r="Z81" s="32">
        <f>1/(1+((Y81/20.46)^2)+((Y81/6081)^6754))</f>
        <v>0.99783058667694802</v>
      </c>
      <c r="AA81" s="28">
        <f>((Parameters!$C$18*F81*Z81)/(D81+B81))^(1/(1-Parameters!$C$21))</f>
        <v>8.8483217392581075</v>
      </c>
      <c r="AB81" s="24">
        <f>(1-U81)*Z81*F81*(AA81^Parameters!$C$21)</f>
        <v>9.0695297827373995</v>
      </c>
      <c r="AC81" s="23">
        <f>(1-Parameters!$C$18)*AB81</f>
        <v>7.9811862088089116</v>
      </c>
      <c r="AD81" s="30">
        <f>LN(AC81)</f>
        <v>2.0770870481351547</v>
      </c>
      <c r="AE81" s="23">
        <f>1/(1+Parameters!$C$22*(A81-$A$9))</f>
        <v>1</v>
      </c>
      <c r="AF81" s="30">
        <f t="shared" ref="AF81:AF89" si="82">C81*AD81*AE81</f>
        <v>96.556758390667696</v>
      </c>
      <c r="AG81" s="30">
        <f>BAU!AF7</f>
        <v>9.1024174870568153</v>
      </c>
      <c r="AH81" s="30">
        <f t="shared" ref="AH81:AH89" si="83">(AB81-AG81)*C81</f>
        <v>-1.5288382462567447</v>
      </c>
      <c r="AI81" s="4"/>
      <c r="AJ81" s="4"/>
      <c r="AK81" s="4"/>
      <c r="AL81" s="1"/>
      <c r="AM81" s="1"/>
      <c r="AN81" s="1"/>
      <c r="AO81" s="1"/>
      <c r="AP81" s="1"/>
      <c r="AQ81" s="1"/>
      <c r="AR81" s="1"/>
      <c r="AS81" s="1"/>
      <c r="AT81" s="1"/>
      <c r="AU81" s="1"/>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row>
    <row r="82" spans="1:113" x14ac:dyDescent="0.25">
      <c r="A82" s="22">
        <v>2015</v>
      </c>
      <c r="B82" s="27">
        <f>B81/(1+Parameters!$C$4)</f>
        <v>2.1863117870722433E-2</v>
      </c>
      <c r="C82" s="28">
        <f t="shared" ref="C82:C84" si="84">C81*(1+B82)</f>
        <v>47.502963474334599</v>
      </c>
      <c r="D82" s="70">
        <f>Parameters!$C$19+(Parameters!$C$20*R82)</f>
        <v>0.10001390376979419</v>
      </c>
      <c r="E82" s="25">
        <f>($E$9/((1+Parameters!$C$8)^(A82-$A$9)))-Parameters!$C$9*Y82</f>
        <v>7.541800853720422E-2</v>
      </c>
      <c r="F82" s="24">
        <f>F81*(1+E82)</f>
        <v>4.0865884324413759</v>
      </c>
      <c r="G82" s="116">
        <v>1221.3</v>
      </c>
      <c r="H82" s="14">
        <f t="shared" ref="H82:K82" si="85">H10</f>
        <v>8406.2977035764925</v>
      </c>
      <c r="I82" s="14">
        <f t="shared" si="85"/>
        <v>43620.965196725607</v>
      </c>
      <c r="J82" s="14">
        <f t="shared" si="85"/>
        <v>37889.206829909628</v>
      </c>
      <c r="K82" s="14">
        <f t="shared" si="85"/>
        <v>141517.96380639906</v>
      </c>
      <c r="L82" s="131">
        <f t="shared" si="79"/>
        <v>51.758342309716539</v>
      </c>
      <c r="M82" s="131">
        <f t="shared" si="80"/>
        <v>70.522774361710006</v>
      </c>
      <c r="N82" s="137">
        <f>Parameters!P55</f>
        <v>52027262.900302097</v>
      </c>
      <c r="O82" s="139">
        <f>(((L82*Parameters!L55)+(M82*Parameters!M55))*Parameters!$C$24)/1000000</f>
        <v>3.308059340693541</v>
      </c>
      <c r="P82" s="138">
        <f>(H82+I82)/Parameters!B40</f>
        <v>0.1865892773006082</v>
      </c>
      <c r="Q82" s="39">
        <f>Parameters!O55/Parameters!B55</f>
        <v>0.50753649374732535</v>
      </c>
      <c r="R82" s="113">
        <f>(IF(P82-BAU!N8 &lt; 0, 0, P82-BAU!N8))+(IF(BAU!O8-Q82 &lt; 0,  0, BAU!O8-Q82))</f>
        <v>1.3903769794187754E-2</v>
      </c>
      <c r="S82" s="39">
        <f t="shared" ref="S82:S89" si="86">R82</f>
        <v>1.3903769794187754E-2</v>
      </c>
      <c r="T82" s="32">
        <f t="shared" ref="T82:T89" si="87">T81*(1+(-E82))</f>
        <v>5.547491948776774E-2</v>
      </c>
      <c r="U82" s="75">
        <f>T82*(S82^Parameters!$C$31)</f>
        <v>3.5064517920997509E-7</v>
      </c>
      <c r="V82" s="21">
        <f t="shared" ref="V82:V88" si="88">Q82</f>
        <v>0.50753649374732535</v>
      </c>
      <c r="W82" s="21">
        <f t="shared" si="81"/>
        <v>611.2360080449871</v>
      </c>
      <c r="X82" s="20">
        <f>X81+(W82/Parameters!$C$12)</f>
        <v>696.70072946681466</v>
      </c>
      <c r="Y82" s="23">
        <f>X82*Parameters!$C$13</f>
        <v>1.2540613130402665</v>
      </c>
      <c r="Z82" s="32">
        <f t="shared" ref="Z82:Z89" si="89">1/(1+((Y82/20.46)^2)+((Y82/6081)^6754))</f>
        <v>0.99625719026155024</v>
      </c>
      <c r="AA82" s="28">
        <f>((Parameters!$C$18*F82*Z82)/(D82+B82))^(1/(1-Parameters!$C$21))</f>
        <v>10.115475579960291</v>
      </c>
      <c r="AB82" s="24">
        <f>(1-U82)*Z82*F82*(AA82^Parameters!$C$21)</f>
        <v>10.27369669893433</v>
      </c>
      <c r="AC82" s="23">
        <f>(1-Parameters!$C$18)*AB82</f>
        <v>9.0408530950622108</v>
      </c>
      <c r="AD82" s="30">
        <f t="shared" ref="AD82:AD89" si="90">LN(AC82)</f>
        <v>2.2017535388744296</v>
      </c>
      <c r="AE82" s="23">
        <f>1/(1+Parameters!$C$22*(A82-$A$9))</f>
        <v>0.93023255813953487</v>
      </c>
      <c r="AF82" s="30">
        <f t="shared" si="82"/>
        <v>97.292853894547889</v>
      </c>
      <c r="AG82" s="30">
        <f>BAU!AF8</f>
        <v>10.358997143018955</v>
      </c>
      <c r="AH82" s="30">
        <f t="shared" si="83"/>
        <v>-4.0520238796964732</v>
      </c>
      <c r="AI82" s="4"/>
      <c r="AJ82" s="4"/>
      <c r="AK82" s="4"/>
      <c r="AL82" s="1"/>
      <c r="AM82" s="1"/>
      <c r="AN82" s="1"/>
      <c r="AO82" s="1"/>
      <c r="AP82" s="1"/>
      <c r="AQ82" s="1"/>
      <c r="AR82" s="1"/>
      <c r="AS82" s="1"/>
      <c r="AT82" s="1"/>
      <c r="AU82" s="1"/>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row>
    <row r="83" spans="1:113" x14ac:dyDescent="0.25">
      <c r="A83" s="22">
        <v>2020</v>
      </c>
      <c r="B83" s="27">
        <f>B82/(1+Parameters!$C$4)</f>
        <v>2.0782431436047938E-2</v>
      </c>
      <c r="C83" s="28">
        <f t="shared" si="84"/>
        <v>48.490190555749045</v>
      </c>
      <c r="D83" s="70">
        <f>Parameters!$C$19+(Parameters!$C$20*R83)</f>
        <v>0.10004202165269881</v>
      </c>
      <c r="E83" s="25">
        <f>($E$9/((1+Parameters!$C$8)^(A83-$A$9)))-Parameters!$C$9*Y83</f>
        <v>7.292269623756871E-2</v>
      </c>
      <c r="F83" s="24">
        <f>F82*(1+E83)</f>
        <v>4.3845934793482604</v>
      </c>
      <c r="G83" s="116">
        <v>1227.2</v>
      </c>
      <c r="H83" s="14">
        <f t="shared" ref="H83:K83" si="91">H11</f>
        <v>13748.398137477629</v>
      </c>
      <c r="I83" s="14">
        <f t="shared" si="91"/>
        <v>59277.541479991487</v>
      </c>
      <c r="J83" s="14">
        <f t="shared" si="91"/>
        <v>29881.531838158284</v>
      </c>
      <c r="K83" s="14">
        <f t="shared" si="91"/>
        <v>100767.29344666607</v>
      </c>
      <c r="L83" s="131">
        <f t="shared" si="79"/>
        <v>50.69377307513863</v>
      </c>
      <c r="M83" s="131">
        <f t="shared" si="80"/>
        <v>69.824529071000001</v>
      </c>
      <c r="N83" s="137">
        <f>Parameters!P56</f>
        <v>73025939.617469117</v>
      </c>
      <c r="O83" s="139">
        <f>(((L83*Parameters!L56)+(M83*Parameters!M56))*Parameters!$C$24)/1000000</f>
        <v>4.5559810856823981</v>
      </c>
      <c r="P83" s="138">
        <f>(H83+I83)/Parameters!B41</f>
        <v>0.29632023482072567</v>
      </c>
      <c r="Q83" s="39">
        <f>Parameters!O56/Parameters!B56</f>
        <v>0.40888742017942015</v>
      </c>
      <c r="R83" s="113">
        <f>(IF(P83-BAU!N9 &lt; 0, 0, P83-BAU!N9))+(IF(BAU!O9-Q83 &lt; 0,  0, BAU!O9-Q83))</f>
        <v>4.2021652698800704E-2</v>
      </c>
      <c r="S83" s="39">
        <f t="shared" si="86"/>
        <v>4.2021652698800704E-2</v>
      </c>
      <c r="T83" s="32">
        <f t="shared" si="87"/>
        <v>5.1429538785157672E-2</v>
      </c>
      <c r="U83" s="75">
        <f>T83*(S83^Parameters!$C$31)</f>
        <v>7.1934526794887971E-6</v>
      </c>
      <c r="V83" s="21">
        <f t="shared" si="88"/>
        <v>0.40888742017942015</v>
      </c>
      <c r="W83" s="21">
        <f t="shared" si="81"/>
        <v>480.70073804330633</v>
      </c>
      <c r="X83" s="20">
        <f>X82+(W83/Parameters!$C$12)</f>
        <v>827.80093075135278</v>
      </c>
      <c r="Y83" s="23">
        <f>X83*Parameters!$C$13</f>
        <v>1.490041675352435</v>
      </c>
      <c r="Z83" s="32">
        <f t="shared" si="89"/>
        <v>0.99472420081694668</v>
      </c>
      <c r="AA83" s="28">
        <f>((Parameters!$C$18*F83*Z83)/(D83+B83))^(1/(1-Parameters!$C$21))</f>
        <v>11.510584472736785</v>
      </c>
      <c r="AB83" s="24">
        <f>(1-U83)*Z83*F83*(AA83^Parameters!$C$21)</f>
        <v>11.589583910695538</v>
      </c>
      <c r="AC83" s="23">
        <f>(1-Parameters!$C$18)*AB83</f>
        <v>10.198833841412073</v>
      </c>
      <c r="AD83" s="30">
        <f t="shared" si="90"/>
        <v>2.3222733844808094</v>
      </c>
      <c r="AE83" s="23">
        <f>1/(1+Parameters!$C$22*(A83-$A$9))</f>
        <v>0.86956521739130443</v>
      </c>
      <c r="AF83" s="30">
        <f t="shared" si="82"/>
        <v>97.919546900885862</v>
      </c>
      <c r="AG83" s="30">
        <f>BAU!AF9</f>
        <v>11.74488149448006</v>
      </c>
      <c r="AH83" s="30">
        <f t="shared" si="83"/>
        <v>-7.530409430558878</v>
      </c>
      <c r="AI83" s="4"/>
      <c r="AJ83" s="4"/>
      <c r="AK83" s="4"/>
      <c r="AL83" s="1"/>
      <c r="AM83" s="1"/>
      <c r="AN83" s="1"/>
      <c r="AO83" s="1"/>
      <c r="AP83" s="1"/>
      <c r="AQ83" s="1"/>
      <c r="AR83" s="1"/>
      <c r="AS83" s="1"/>
      <c r="AT83" s="1"/>
      <c r="AU83" s="1"/>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row>
    <row r="84" spans="1:113" x14ac:dyDescent="0.25">
      <c r="A84" s="22">
        <v>2025</v>
      </c>
      <c r="B84" s="27">
        <f>B83/(1+Parameters!$C$4)</f>
        <v>1.9755162962022753E-2</v>
      </c>
      <c r="C84" s="28">
        <f t="shared" si="84"/>
        <v>49.448122172237404</v>
      </c>
      <c r="D84" s="70">
        <f>Parameters!$C$19+(Parameters!$C$20*R84)</f>
        <v>0.1000977791334061</v>
      </c>
      <c r="E84" s="25">
        <f>($E$9/((1+Parameters!$C$8)^(A84-$A$9)))-Parameters!$C$9*Y84</f>
        <v>7.0505916920800202E-2</v>
      </c>
      <c r="F84" s="24">
        <f>F83*(1+E84)</f>
        <v>4.6937332629346713</v>
      </c>
      <c r="G84" s="116">
        <v>1401.8</v>
      </c>
      <c r="H84" s="14">
        <f t="shared" ref="H84:K84" si="92">H12</f>
        <v>23575.277537099944</v>
      </c>
      <c r="I84" s="14">
        <f t="shared" si="92"/>
        <v>79031.280607138498</v>
      </c>
      <c r="J84" s="14">
        <f t="shared" si="92"/>
        <v>27272.361473606685</v>
      </c>
      <c r="K84" s="14">
        <f t="shared" si="92"/>
        <v>100966.50990071571</v>
      </c>
      <c r="L84" s="131">
        <f t="shared" si="79"/>
        <v>49.651099975649984</v>
      </c>
      <c r="M84" s="131">
        <f t="shared" si="80"/>
        <v>69.133197100000004</v>
      </c>
      <c r="N84" s="137">
        <f>Parameters!P57</f>
        <v>102606558.14423844</v>
      </c>
      <c r="O84" s="139">
        <f>(((L84*Parameters!L57)+(M84*Parameters!M57))*Parameters!$C$24)/1000000</f>
        <v>6.2501020170319181</v>
      </c>
      <c r="P84" s="138">
        <f>(H84+I84)/Parameters!B42</f>
        <v>0.3666845964696584</v>
      </c>
      <c r="Q84" s="39">
        <f>Parameters!O57/Parameters!B57</f>
        <v>0.36082356342027461</v>
      </c>
      <c r="R84" s="113">
        <f>(IF(P84-BAU!N10 &lt; 0, 0, P84-BAU!N10))+(IF(BAU!O10-Q84 &lt; 0,  0, BAU!O10-Q84))</f>
        <v>9.7779133406092844E-2</v>
      </c>
      <c r="S84" s="39">
        <f t="shared" si="86"/>
        <v>9.7779133406092844E-2</v>
      </c>
      <c r="T84" s="32">
        <f t="shared" si="87"/>
        <v>4.7803451996296271E-2</v>
      </c>
      <c r="U84" s="75">
        <f>T84*(S84^Parameters!$C$31)</f>
        <v>7.1145686452763715E-5</v>
      </c>
      <c r="V84" s="21">
        <f t="shared" si="88"/>
        <v>0.36082356342027461</v>
      </c>
      <c r="W84" s="21">
        <f t="shared" si="81"/>
        <v>456.34554389369623</v>
      </c>
      <c r="X84" s="20">
        <f>X83+(W84/Parameters!$C$12)</f>
        <v>952.25880635872454</v>
      </c>
      <c r="Y84" s="23">
        <f>X84*Parameters!$C$13</f>
        <v>1.7140658514457041</v>
      </c>
      <c r="Z84" s="32">
        <f t="shared" si="89"/>
        <v>0.99303042490954285</v>
      </c>
      <c r="AA84" s="28">
        <f>((Parameters!$C$18*F84*Z84)/(D84+B84))^(1/(1-Parameters!$C$21))</f>
        <v>13.032343309959112</v>
      </c>
      <c r="AB84" s="24">
        <f>(1-U84)*Z84*F84*(AA84^Parameters!$C$21)</f>
        <v>13.015446342052746</v>
      </c>
      <c r="AC84" s="23">
        <f>(1-Parameters!$C$18)*AB84</f>
        <v>11.453592781006417</v>
      </c>
      <c r="AD84" s="30">
        <f t="shared" si="90"/>
        <v>2.4383034607821603</v>
      </c>
      <c r="AE84" s="23">
        <f>1/(1+Parameters!$C$22*(A84-$A$9))</f>
        <v>0.81632653061224481</v>
      </c>
      <c r="AF84" s="30">
        <f t="shared" si="82"/>
        <v>98.424104017751446</v>
      </c>
      <c r="AG84" s="30">
        <f>BAU!AF10</f>
        <v>13.267674708883096</v>
      </c>
      <c r="AH84" s="30">
        <f t="shared" si="83"/>
        <v>-12.472219098331047</v>
      </c>
      <c r="AI84" s="4"/>
      <c r="AJ84" s="4"/>
      <c r="AK84" s="4"/>
      <c r="AL84" s="1"/>
      <c r="AM84" s="1"/>
      <c r="AN84" s="1"/>
      <c r="AO84" s="1"/>
      <c r="AP84" s="1"/>
      <c r="AQ84" s="1"/>
      <c r="AR84" s="1"/>
      <c r="AS84" s="1"/>
      <c r="AT84" s="1"/>
      <c r="AU84" s="1"/>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row>
    <row r="85" spans="1:113" x14ac:dyDescent="0.25">
      <c r="A85" s="22">
        <v>2030</v>
      </c>
      <c r="B85" s="27">
        <f>B84/(1+Parameters!$C$4)</f>
        <v>1.8778672017131893E-2</v>
      </c>
      <c r="C85" s="28">
        <f>C84*(1+B85)</f>
        <v>50.376692240372918</v>
      </c>
      <c r="D85" s="70">
        <f>Parameters!$C$19+(Parameters!$C$20*R85)</f>
        <v>0.10022641139347668</v>
      </c>
      <c r="E85" s="25">
        <f>($E$9/((1+Parameters!$C$8)^(A85-$A$9)))-Parameters!$C$9*Y85</f>
        <v>6.8223104493647102E-2</v>
      </c>
      <c r="F85" s="24">
        <f t="shared" ref="F85:F88" si="93">F84*(1+E85)</f>
        <v>5.0139543177971708</v>
      </c>
      <c r="G85" s="116">
        <v>1481.4</v>
      </c>
      <c r="H85" s="14">
        <f t="shared" ref="H85:K85" si="94">H13</f>
        <v>43722.485301554501</v>
      </c>
      <c r="I85" s="14">
        <f t="shared" si="94"/>
        <v>105193.26992963694</v>
      </c>
      <c r="J85" s="14">
        <f t="shared" si="94"/>
        <v>20043.307146330913</v>
      </c>
      <c r="K85" s="14">
        <f t="shared" si="94"/>
        <v>81509.837198496054</v>
      </c>
      <c r="L85" s="131">
        <f t="shared" si="79"/>
        <v>48.629872649999989</v>
      </c>
      <c r="M85" s="131">
        <f t="shared" si="80"/>
        <v>68.448710000000005</v>
      </c>
      <c r="N85" s="137">
        <f>Parameters!P58</f>
        <v>148915755.23119143</v>
      </c>
      <c r="O85" s="139">
        <f>(((L85*Parameters!L58)+(M85*Parameters!M58))*Parameters!$C$24)/1000000</f>
        <v>8.7865545496412363</v>
      </c>
      <c r="P85" s="138">
        <f>(H85+I85)/Parameters!B43</f>
        <v>0.5022957451484964</v>
      </c>
      <c r="Q85" s="39">
        <f>Parameters!O58/Parameters!B58</f>
        <v>0.27493426970832441</v>
      </c>
      <c r="R85" s="113">
        <f>(IF(P85-BAU!N11 &lt; 0, 0, P85-BAU!N11))+(IF(BAU!O11-Q85 &lt; 0,  0, BAU!O11-Q85))</f>
        <v>0.2264113934766811</v>
      </c>
      <c r="S85" s="39">
        <f t="shared" si="86"/>
        <v>0.2264113934766811</v>
      </c>
      <c r="T85" s="32">
        <f t="shared" si="87"/>
        <v>4.4542152095595908E-2</v>
      </c>
      <c r="U85" s="75">
        <f>T85*(S85^Parameters!$C$31)</f>
        <v>6.9580312341208572E-4</v>
      </c>
      <c r="V85" s="21">
        <f t="shared" si="88"/>
        <v>0.27493426970832441</v>
      </c>
      <c r="W85" s="21">
        <f t="shared" si="81"/>
        <v>315.07306793799495</v>
      </c>
      <c r="X85" s="20">
        <f>X84+(W85/Parameters!$C$12)</f>
        <v>1038.1878248872686</v>
      </c>
      <c r="Y85" s="23">
        <f>X85*Parameters!$C$13</f>
        <v>1.8687380847970834</v>
      </c>
      <c r="Z85" s="32">
        <f t="shared" si="89"/>
        <v>0.99172672177259391</v>
      </c>
      <c r="AA85" s="28">
        <f>((Parameters!$C$18*F85*Z85)/(D85+B85))^(1/(1-Parameters!$C$21))</f>
        <v>14.688593151383383</v>
      </c>
      <c r="AB85" s="24">
        <f>(1-U85)*Z85*F85*(AA85^Parameters!$C$21)</f>
        <v>14.556674810836194</v>
      </c>
      <c r="AC85" s="23">
        <f>(1-Parameters!$C$18)*AB85</f>
        <v>12.809873833535852</v>
      </c>
      <c r="AD85" s="30">
        <f t="shared" si="90"/>
        <v>2.5502162667997075</v>
      </c>
      <c r="AE85" s="23">
        <f>1/(1+Parameters!$C$22*(A85-$A$9))</f>
        <v>0.76923076923076916</v>
      </c>
      <c r="AF85" s="30">
        <f t="shared" si="82"/>
        <v>98.824200014585841</v>
      </c>
      <c r="AG85" s="30">
        <f>BAU!AF11</f>
        <v>14.934834851616968</v>
      </c>
      <c r="AH85" s="30">
        <f t="shared" si="83"/>
        <v>-19.050451992019909</v>
      </c>
      <c r="AI85" s="4"/>
      <c r="AJ85" s="4"/>
      <c r="AK85" s="4"/>
      <c r="AL85" s="1"/>
      <c r="AM85" s="1"/>
      <c r="AN85" s="1"/>
      <c r="AO85" s="1"/>
      <c r="AP85" s="1"/>
      <c r="AQ85" s="1"/>
      <c r="AR85" s="1"/>
      <c r="AS85" s="1"/>
      <c r="AT85" s="1"/>
      <c r="AU85" s="1"/>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row>
    <row r="86" spans="1:113" x14ac:dyDescent="0.25">
      <c r="A86" s="22">
        <v>2035</v>
      </c>
      <c r="B86" s="27">
        <f>B85/(1+Parameters!$C$4)</f>
        <v>1.7850448685486589E-2</v>
      </c>
      <c r="C86" s="28">
        <f t="shared" ref="C86:C89" si="95">C85*(1+B86)</f>
        <v>51.27593880015425</v>
      </c>
      <c r="D86" s="70">
        <f>Parameters!$C$19+(Parameters!$C$20*R86)</f>
        <v>0.10031737334112974</v>
      </c>
      <c r="E86" s="25">
        <f>($E$9/((1+Parameters!$C$8)^(A86-$A$9)))-Parameters!$C$9*Y86</f>
        <v>6.6041526531316549E-2</v>
      </c>
      <c r="F86" s="24">
        <f t="shared" si="93"/>
        <v>5.3450835149027816</v>
      </c>
      <c r="G86" s="116">
        <v>1574.3</v>
      </c>
      <c r="H86" s="14">
        <f t="shared" ref="H86:K86" si="96">H14</f>
        <v>56901.485786933714</v>
      </c>
      <c r="I86" s="14">
        <f t="shared" si="96"/>
        <v>118459.12846488837</v>
      </c>
      <c r="J86" s="14">
        <f t="shared" si="96"/>
        <v>15560.399481870791</v>
      </c>
      <c r="K86" s="14">
        <f t="shared" si="96"/>
        <v>67714.283811454661</v>
      </c>
      <c r="L86" s="131">
        <f>L87*(1+0.021)</f>
        <v>47.629649999999991</v>
      </c>
      <c r="M86" s="131">
        <f>M87*(1+0.01)</f>
        <v>67.771000000000001</v>
      </c>
      <c r="N86" s="137">
        <f>Parameters!P59</f>
        <v>175360614.25182208</v>
      </c>
      <c r="O86" s="139">
        <f>(((L86*Parameters!L59)+(M86*Parameters!M59))*Parameters!$C$24)/1000000</f>
        <v>10.116544372883427</v>
      </c>
      <c r="P86" s="138">
        <f>(H86+I86)/Parameters!B44</f>
        <v>0.57015668210272508</v>
      </c>
      <c r="Q86" s="39">
        <f>Parameters!O59/Parameters!B59</f>
        <v>0.22016204467360953</v>
      </c>
      <c r="R86" s="113">
        <f>(IF(P86-BAU!N12 &lt; 0, 0, P86-BAU!N12))+(IF(BAU!O12-Q86 &lt; 0,  0, BAU!O12-Q86))</f>
        <v>0.31737334112972593</v>
      </c>
      <c r="S86" s="39">
        <f t="shared" si="86"/>
        <v>0.31737334112972593</v>
      </c>
      <c r="T86" s="32">
        <f t="shared" si="87"/>
        <v>4.1600520376212674E-2</v>
      </c>
      <c r="U86" s="75">
        <f>T86*(S86^Parameters!$C$31)</f>
        <v>1.6730002508499324E-3</v>
      </c>
      <c r="V86" s="21">
        <f t="shared" si="88"/>
        <v>0.22016204467360953</v>
      </c>
      <c r="W86" s="21">
        <f t="shared" si="81"/>
        <v>236.59915558413479</v>
      </c>
      <c r="X86" s="20">
        <f>X85+(W86/Parameters!$C$12)</f>
        <v>1102.7148673193053</v>
      </c>
      <c r="Y86" s="23">
        <f>X86*Parameters!$C$13</f>
        <v>1.9848867611747496</v>
      </c>
      <c r="Z86" s="32">
        <f t="shared" si="89"/>
        <v>0.99067622144065359</v>
      </c>
      <c r="AA86" s="28">
        <f>((Parameters!$C$18*F86*Z86)/(D86+B86))^(1/(1-Parameters!$C$21))</f>
        <v>16.504932360428032</v>
      </c>
      <c r="AB86" s="24">
        <f>(1-U86)*Z86*F86*(AA86^Parameters!$C$21)</f>
        <v>16.225741420784829</v>
      </c>
      <c r="AC86" s="23">
        <f>(1-Parameters!$C$18)*AB86</f>
        <v>14.278652450290648</v>
      </c>
      <c r="AD86" s="30">
        <f t="shared" si="90"/>
        <v>2.658765586232521</v>
      </c>
      <c r="AE86" s="23">
        <f>1/(1+Parameters!$C$22*(A86-$A$9))</f>
        <v>0.72727272727272729</v>
      </c>
      <c r="AF86" s="30">
        <f t="shared" si="82"/>
        <v>99.149601078992717</v>
      </c>
      <c r="AG86" s="30">
        <f>BAU!AF12</f>
        <v>16.753616251228273</v>
      </c>
      <c r="AH86" s="30">
        <f t="shared" si="83"/>
        <v>-27.067277499959857</v>
      </c>
      <c r="AI86" s="4"/>
      <c r="AJ86" s="4"/>
      <c r="AK86" s="4"/>
      <c r="AL86" s="1"/>
      <c r="AM86" s="1"/>
      <c r="AN86" s="1"/>
      <c r="AO86" s="1"/>
      <c r="AP86" s="1"/>
      <c r="AQ86" s="1"/>
      <c r="AR86" s="1"/>
      <c r="AS86" s="1"/>
      <c r="AT86" s="1"/>
      <c r="AU86" s="1"/>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row>
    <row r="87" spans="1:113" x14ac:dyDescent="0.25">
      <c r="A87" s="22">
        <v>2040</v>
      </c>
      <c r="B87" s="27">
        <f>B86/(1+Parameters!$C$4)</f>
        <v>1.6968107115481548E-2</v>
      </c>
      <c r="C87" s="28">
        <f t="shared" si="95"/>
        <v>52.14599442216214</v>
      </c>
      <c r="D87" s="70">
        <f>Parameters!$C$19+(Parameters!$C$20*R87)</f>
        <v>0.10039191543708471</v>
      </c>
      <c r="E87" s="25">
        <f>($E$9/((1+Parameters!$C$8)^(A87-$A$9)))-Parameters!$C$9*Y87</f>
        <v>6.3951433988196471E-2</v>
      </c>
      <c r="F87" s="24">
        <f t="shared" si="93"/>
        <v>5.6869092704674831</v>
      </c>
      <c r="G87" s="116">
        <v>1689.8</v>
      </c>
      <c r="H87" s="14">
        <f t="shared" ref="H87:K87" si="97">H15</f>
        <v>69860.585141586096</v>
      </c>
      <c r="I87" s="14">
        <f t="shared" si="97"/>
        <v>133139.70793283489</v>
      </c>
      <c r="J87" s="14">
        <f t="shared" si="97"/>
        <v>12726.081927138761</v>
      </c>
      <c r="K87" s="14">
        <f t="shared" si="97"/>
        <v>54193.518151949807</v>
      </c>
      <c r="L87" s="132">
        <v>46.65</v>
      </c>
      <c r="M87" s="132">
        <v>67.099999999999994</v>
      </c>
      <c r="N87" s="137">
        <f>Parameters!P60</f>
        <v>203000293.07442099</v>
      </c>
      <c r="O87" s="139">
        <f>(((L87*Parameters!L60)+(M87*Parameters!M60))*Parameters!$C$24)/1000000</f>
        <v>11.48671506566753</v>
      </c>
      <c r="P87" s="138">
        <f>(H87+I87)/Parameters!B45</f>
        <v>0.63510905619225155</v>
      </c>
      <c r="Q87" s="39">
        <f>Parameters!O60/Parameters!B60</f>
        <v>0.16955046539072915</v>
      </c>
      <c r="R87" s="113">
        <f>(IF(P87-BAU!N13 &lt; 0, 0, P87-BAU!N13))+(IF(BAU!O13-Q87 &lt; 0,  0, BAU!O13-Q87))</f>
        <v>0.39191543708470722</v>
      </c>
      <c r="S87" s="39">
        <f t="shared" si="86"/>
        <v>0.39191543708470722</v>
      </c>
      <c r="T87" s="32">
        <f t="shared" si="87"/>
        <v>3.8940107443498684E-2</v>
      </c>
      <c r="U87" s="75">
        <f>T87*(S87^Parameters!$C$31)</f>
        <v>2.8270649219960201E-3</v>
      </c>
      <c r="V87" s="21">
        <f t="shared" si="88"/>
        <v>0.16955046539072915</v>
      </c>
      <c r="W87" s="21">
        <f t="shared" si="81"/>
        <v>174.22010467613032</v>
      </c>
      <c r="X87" s="20">
        <f>X86+(W87/Parameters!$C$12)</f>
        <v>1150.2294413218863</v>
      </c>
      <c r="Y87" s="23">
        <f>X87*Parameters!$C$13</f>
        <v>2.0704129943793954</v>
      </c>
      <c r="Z87" s="32">
        <f t="shared" si="89"/>
        <v>0.98986373111480763</v>
      </c>
      <c r="AA87" s="28">
        <f>((Parameters!$C$18*F87*Z87)/(D87+B87))^(1/(1-Parameters!$C$21))</f>
        <v>18.48649688446519</v>
      </c>
      <c r="AB87" s="24">
        <f>(1-U87)*Z87*F87*(AA87^Parameters!$C$21)</f>
        <v>18.028684666219593</v>
      </c>
      <c r="AC87" s="23">
        <f>(1-Parameters!$C$18)*AB87</f>
        <v>15.865242506273242</v>
      </c>
      <c r="AD87" s="30">
        <f t="shared" si="90"/>
        <v>2.7641307105327848</v>
      </c>
      <c r="AE87" s="23">
        <f>1/(1+Parameters!$C$22*(A87-$A$9))</f>
        <v>0.68965517241379315</v>
      </c>
      <c r="AF87" s="30">
        <f t="shared" si="82"/>
        <v>99.405754905910129</v>
      </c>
      <c r="AG87" s="30">
        <f>BAU!AF13</f>
        <v>18.731012679021322</v>
      </c>
      <c r="AH87" s="30">
        <f t="shared" si="83"/>
        <v>-36.623592638087182</v>
      </c>
      <c r="AI87" s="4"/>
      <c r="AJ87" s="4"/>
      <c r="AK87" s="4"/>
      <c r="AL87" s="1"/>
      <c r="AM87" s="1"/>
      <c r="AN87" s="1"/>
      <c r="AO87" s="1"/>
      <c r="AP87" s="1"/>
      <c r="AQ87" s="1"/>
      <c r="AR87" s="1"/>
      <c r="AS87" s="1"/>
      <c r="AT87" s="1"/>
      <c r="AU87" s="1"/>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row>
    <row r="88" spans="1:113" x14ac:dyDescent="0.25">
      <c r="A88" s="22">
        <v>2045</v>
      </c>
      <c r="B88" s="27">
        <f>B87/(1+Parameters!$C$4)</f>
        <v>1.6129379387339875E-2</v>
      </c>
      <c r="C88" s="28">
        <f t="shared" si="95"/>
        <v>52.987076949727296</v>
      </c>
      <c r="D88" s="70">
        <f>Parameters!$C$19+(Parameters!$C$20*R88)</f>
        <v>0.10045568002122873</v>
      </c>
      <c r="E88" s="25">
        <f>($E$9/((1+Parameters!$C$8)^(A88-$A$9)))-Parameters!$C$9*Y88</f>
        <v>6.1937666844225643E-2</v>
      </c>
      <c r="F88" s="24">
        <f t="shared" si="93"/>
        <v>6.0391431622350371</v>
      </c>
      <c r="G88" s="116">
        <v>1814.7</v>
      </c>
      <c r="H88" s="14">
        <f t="shared" ref="H88:K88" si="98">H16</f>
        <v>80152.999476753161</v>
      </c>
      <c r="I88" s="14">
        <f t="shared" si="98"/>
        <v>141245.98279090913</v>
      </c>
      <c r="J88" s="14">
        <f t="shared" si="98"/>
        <v>9785.4371310306251</v>
      </c>
      <c r="K88" s="14">
        <f t="shared" si="98"/>
        <v>46006.597989740636</v>
      </c>
      <c r="L88" s="131">
        <f>L87*(1-0.021)</f>
        <v>45.670349999999999</v>
      </c>
      <c r="M88" s="131">
        <f>M87*(1-0.01)</f>
        <v>66.428999999999988</v>
      </c>
      <c r="N88" s="137">
        <f>Parameters!P61</f>
        <v>221398982.26766229</v>
      </c>
      <c r="O88" s="139">
        <f>(((L88*Parameters!L61)+(M88*Parameters!M61))*Parameters!$C$24)/1000000</f>
        <v>12.288229468996198</v>
      </c>
      <c r="P88" s="138">
        <f>(H88+I88)/Parameters!B46</f>
        <v>0.67752812354888481</v>
      </c>
      <c r="Q88" s="39">
        <f>Parameters!O61/Parameters!B61</f>
        <v>0.14079000584190896</v>
      </c>
      <c r="R88" s="113">
        <f>(IF(P88-BAU!N14 &lt; 0, 0, P88-BAU!N14))+(IF(BAU!O14-Q88 &lt; 0,  0, BAU!O14-Q88))</f>
        <v>0.45568002122873286</v>
      </c>
      <c r="S88" s="39">
        <f t="shared" si="86"/>
        <v>0.45568002122873286</v>
      </c>
      <c r="T88" s="32">
        <f t="shared" si="87"/>
        <v>3.6528248041784908E-2</v>
      </c>
      <c r="U88" s="75">
        <f>T88*(S88^Parameters!$C$31)</f>
        <v>4.0446114705126853E-3</v>
      </c>
      <c r="V88" s="21">
        <f t="shared" si="88"/>
        <v>0.14079000584190896</v>
      </c>
      <c r="W88" s="21">
        <f t="shared" si="81"/>
        <v>139.06919513490283</v>
      </c>
      <c r="X88" s="20">
        <f>X87+(W88/Parameters!$C$12)</f>
        <v>1188.1574036314053</v>
      </c>
      <c r="Y88" s="23">
        <f>X88*Parameters!$C$13</f>
        <v>2.1386833265365293</v>
      </c>
      <c r="Z88" s="32">
        <f t="shared" si="89"/>
        <v>0.98919158228758397</v>
      </c>
      <c r="AA88" s="28">
        <f>((Parameters!$C$18*F88*Z88)/(D88+B88))^(1/(1-Parameters!$C$21))</f>
        <v>20.63748676791214</v>
      </c>
      <c r="AB88" s="24">
        <f>(1-U88)*Z88*F88*(AA88^Parameters!$C$21)</f>
        <v>19.969093284915495</v>
      </c>
      <c r="AC88" s="23">
        <f>(1-Parameters!$C$18)*AB88</f>
        <v>17.572802090725634</v>
      </c>
      <c r="AD88" s="30">
        <f t="shared" si="90"/>
        <v>2.8663523710270371</v>
      </c>
      <c r="AE88" s="23">
        <f>1/(1+Parameters!$C$22*(A88-$A$9))</f>
        <v>0.65573770491803285</v>
      </c>
      <c r="AF88" s="30">
        <f t="shared" si="82"/>
        <v>99.59320239255274</v>
      </c>
      <c r="AG88" s="30">
        <f>BAU!AF14</f>
        <v>20.873702061172605</v>
      </c>
      <c r="AH88" s="30">
        <f t="shared" si="83"/>
        <v>-47.932574836934116</v>
      </c>
      <c r="AI88" s="4"/>
      <c r="AJ88" s="4"/>
      <c r="AK88" s="4"/>
      <c r="AL88" s="1"/>
      <c r="AM88" s="1"/>
      <c r="AN88" s="1"/>
      <c r="AO88" s="1"/>
      <c r="AP88" s="1"/>
      <c r="AQ88" s="1"/>
      <c r="AR88" s="1"/>
      <c r="AS88" s="1"/>
      <c r="AT88" s="1"/>
      <c r="AU88" s="1"/>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row>
    <row r="89" spans="1:113" ht="15.75" thickBot="1" x14ac:dyDescent="0.3">
      <c r="A89" s="22">
        <v>2050</v>
      </c>
      <c r="B89" s="27">
        <f>B88/(1+Parameters!$C$4)</f>
        <v>1.533210968378315E-2</v>
      </c>
      <c r="C89" s="28">
        <f t="shared" si="95"/>
        <v>53.79948062534357</v>
      </c>
      <c r="D89" s="70">
        <f>Parameters!$C$19+(Parameters!$C$20*R89)</f>
        <v>0.10049864704468618</v>
      </c>
      <c r="E89" s="25">
        <f>($E$9/((1+Parameters!$C$8)^(A89-$A$9)))-Parameters!$C$9*Y89</f>
        <v>5.999277471790352E-2</v>
      </c>
      <c r="F89" s="24">
        <f>F88*(1+E89)</f>
        <v>6.4014481174561704</v>
      </c>
      <c r="G89" s="116">
        <v>1946.6</v>
      </c>
      <c r="H89" s="14">
        <f t="shared" ref="H89:K89" si="99">H17</f>
        <v>90965.710287184847</v>
      </c>
      <c r="I89" s="14">
        <f t="shared" si="99"/>
        <v>148539.01722352521</v>
      </c>
      <c r="J89" s="14">
        <f t="shared" si="99"/>
        <v>6133.3047331966181</v>
      </c>
      <c r="K89" s="14">
        <f t="shared" si="99"/>
        <v>39641.889162162595</v>
      </c>
      <c r="L89" s="131">
        <f>L88*(1-0.021)</f>
        <v>44.711272649999998</v>
      </c>
      <c r="M89" s="131">
        <f>M88*(1-0.01)</f>
        <v>65.764709999999994</v>
      </c>
      <c r="N89" s="137">
        <f>Parameters!P62</f>
        <v>239504727.51071006</v>
      </c>
      <c r="O89" s="140">
        <f>(((L89*Parameters!L62)+(M89*Parameters!M62))*Parameters!$C$24)/1000000</f>
        <v>13.034724199829155</v>
      </c>
      <c r="P89" s="138">
        <f>(H89+I89)/Parameters!B47</f>
        <v>0.7153303157959251</v>
      </c>
      <c r="Q89" s="39">
        <f>Parameters!O62/Parameters!B62</f>
        <v>0.11839868627164686</v>
      </c>
      <c r="R89" s="113">
        <f>(IF(P89-BAU!N15 &lt; 0, 0, P89-BAU!N15))+(IF(BAU!O15-Q89 &lt; 0,  0, BAU!O15-Q89))</f>
        <v>0.49864704468618015</v>
      </c>
      <c r="S89" s="39">
        <f t="shared" si="86"/>
        <v>0.49864704468618015</v>
      </c>
      <c r="T89" s="32">
        <f t="shared" si="87"/>
        <v>3.4336817086174407E-2</v>
      </c>
      <c r="U89" s="75">
        <f>T89*(S89^Parameters!$C$31)</f>
        <v>4.8930666727095258E-3</v>
      </c>
      <c r="V89" s="21">
        <f>Q89</f>
        <v>0.11839868627164686</v>
      </c>
      <c r="W89" s="21">
        <f t="shared" si="81"/>
        <v>115.54926356543997</v>
      </c>
      <c r="X89" s="20">
        <f>X88+(W89/Parameters!$C$12)</f>
        <v>1219.6708391492525</v>
      </c>
      <c r="Y89" s="23">
        <f>X89*Parameters!$C$13</f>
        <v>2.1954075104686543</v>
      </c>
      <c r="Z89" s="32">
        <f t="shared" si="89"/>
        <v>0.98861724950935626</v>
      </c>
      <c r="AA89" s="28">
        <f>((Parameters!$C$18*F89*Z89)/(D89+B89))^(1/(1-Parameters!$C$21))</f>
        <v>22.96710611644</v>
      </c>
      <c r="AB89" s="24">
        <f>(1-U89)*Z89*F89*(AA89^Parameters!$C$21)</f>
        <v>22.060668911362704</v>
      </c>
      <c r="AC89" s="23">
        <f>(1-Parameters!$C$18)*AB89</f>
        <v>19.41338864199918</v>
      </c>
      <c r="AD89" s="30">
        <f t="shared" si="90"/>
        <v>2.9659629642203411</v>
      </c>
      <c r="AE89" s="23">
        <f>1/(1+Parameters!$C$22*(A89-$A$9))</f>
        <v>0.625</v>
      </c>
      <c r="AF89" s="30">
        <f t="shared" si="82"/>
        <v>99.729541893161766</v>
      </c>
      <c r="AG89" s="30">
        <f>BAU!AF15</f>
        <v>23.187993404994479</v>
      </c>
      <c r="AH89" s="30">
        <f t="shared" si="83"/>
        <v>-60.649472253617944</v>
      </c>
      <c r="AI89" s="4"/>
      <c r="AJ89" s="4"/>
      <c r="AK89" s="4"/>
      <c r="AL89" s="1"/>
      <c r="AM89" s="1"/>
      <c r="AN89" s="1"/>
      <c r="AO89" s="1"/>
      <c r="AP89" s="1"/>
      <c r="AQ89" s="1"/>
      <c r="AR89" s="1"/>
      <c r="AS89" s="1"/>
      <c r="AT89" s="1"/>
      <c r="AU89" s="1"/>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c r="DI89" s="5"/>
    </row>
    <row r="90" spans="1:113" ht="56.25" x14ac:dyDescent="0.25">
      <c r="A90" s="3"/>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7"/>
      <c r="AD90" s="7"/>
      <c r="AE90" s="33" t="s">
        <v>78</v>
      </c>
      <c r="AF90" s="88">
        <f>SUM(AF81:AF89)</f>
        <v>886.89556348905614</v>
      </c>
      <c r="AG90" s="108"/>
      <c r="AH90" s="76"/>
      <c r="AI90" s="4"/>
      <c r="AJ90" s="4"/>
      <c r="AK90" s="4"/>
      <c r="AL90" s="1"/>
      <c r="AM90" s="1"/>
      <c r="AN90" s="1"/>
      <c r="AO90" s="1"/>
      <c r="AP90" s="1"/>
      <c r="AQ90" s="1"/>
      <c r="AR90" s="1"/>
      <c r="AS90" s="1"/>
      <c r="AT90" s="1"/>
      <c r="AU90" s="1"/>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row>
    <row r="91" spans="1:113" x14ac:dyDescent="0.25">
      <c r="A91" s="3"/>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7"/>
      <c r="AD91" s="7"/>
      <c r="AE91" s="4"/>
      <c r="AF91" s="4"/>
      <c r="AG91" s="4"/>
      <c r="AH91" s="4"/>
      <c r="AI91" s="4"/>
      <c r="AJ91" s="4"/>
      <c r="AK91" s="4"/>
      <c r="AL91" s="1"/>
      <c r="AM91" s="1"/>
      <c r="AN91" s="1"/>
      <c r="AO91" s="1"/>
      <c r="AP91" s="1"/>
      <c r="AQ91" s="1"/>
      <c r="AR91" s="1"/>
      <c r="AS91" s="1"/>
      <c r="AT91" s="1"/>
      <c r="AU91" s="1"/>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row>
    <row r="92" spans="1:113" x14ac:dyDescent="0.25">
      <c r="A92" s="3"/>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7"/>
      <c r="AD92" s="7"/>
      <c r="AE92" s="4"/>
      <c r="AF92" s="4"/>
      <c r="AG92" s="4"/>
      <c r="AH92" s="4"/>
      <c r="AI92" s="4"/>
      <c r="AJ92" s="4"/>
      <c r="AK92" s="4"/>
      <c r="AL92" s="1"/>
      <c r="AM92" s="1"/>
      <c r="AN92" s="1"/>
      <c r="AO92" s="1"/>
      <c r="AP92" s="1"/>
      <c r="AQ92" s="1"/>
      <c r="AR92" s="1"/>
      <c r="AS92" s="1"/>
      <c r="AT92" s="1"/>
      <c r="AU92" s="1"/>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c r="DI92" s="5"/>
    </row>
    <row r="93" spans="1:113" ht="18.75" x14ac:dyDescent="0.3">
      <c r="A93" s="31" t="s">
        <v>293</v>
      </c>
      <c r="E93" s="31"/>
      <c r="AI93" s="4"/>
      <c r="AJ93" s="4"/>
      <c r="AK93" s="4"/>
      <c r="AL93" s="1"/>
      <c r="AM93" s="1"/>
      <c r="AN93" s="1"/>
      <c r="AO93" s="1"/>
      <c r="AP93" s="1"/>
      <c r="AQ93" s="1"/>
      <c r="AR93" s="1"/>
      <c r="AS93" s="1"/>
      <c r="AT93" s="1"/>
      <c r="AU93" s="1"/>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c r="DI93" s="5"/>
    </row>
    <row r="94" spans="1:113" x14ac:dyDescent="0.25">
      <c r="A94" s="16" t="s">
        <v>25</v>
      </c>
      <c r="B94" s="168" t="s">
        <v>68</v>
      </c>
      <c r="C94" s="169"/>
      <c r="D94" s="169"/>
      <c r="E94" s="169"/>
      <c r="F94" s="170"/>
      <c r="G94" s="128"/>
      <c r="H94" s="165" t="s">
        <v>116</v>
      </c>
      <c r="I94" s="166"/>
      <c r="J94" s="166"/>
      <c r="K94" s="166"/>
      <c r="L94" s="166"/>
      <c r="M94" s="166"/>
      <c r="N94" s="166"/>
      <c r="O94" s="166"/>
      <c r="P94" s="166"/>
      <c r="Q94" s="166"/>
      <c r="R94" s="166"/>
      <c r="S94" s="166"/>
      <c r="T94" s="166"/>
      <c r="U94" s="166"/>
      <c r="V94" s="179" t="s">
        <v>39</v>
      </c>
      <c r="W94" s="179"/>
      <c r="X94" s="179"/>
      <c r="Y94" s="179"/>
      <c r="Z94" s="179"/>
      <c r="AA94" s="186" t="s">
        <v>79</v>
      </c>
      <c r="AB94" s="186"/>
      <c r="AC94" s="187"/>
      <c r="AD94" s="174" t="s">
        <v>40</v>
      </c>
      <c r="AE94" s="175"/>
      <c r="AF94" s="175"/>
      <c r="AG94" s="175"/>
      <c r="AH94" s="175"/>
      <c r="AI94" s="4"/>
      <c r="AJ94" s="4"/>
      <c r="AK94" s="4"/>
      <c r="AL94" s="1"/>
      <c r="AM94" s="1"/>
      <c r="AN94" s="1"/>
      <c r="AO94" s="1"/>
      <c r="AP94" s="1"/>
      <c r="AQ94" s="1"/>
      <c r="AR94" s="1"/>
      <c r="AS94" s="1"/>
      <c r="AT94" s="1"/>
      <c r="AU94" s="1"/>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row>
    <row r="95" spans="1:113" x14ac:dyDescent="0.25">
      <c r="A95" s="36"/>
      <c r="B95" s="171"/>
      <c r="C95" s="172"/>
      <c r="D95" s="172"/>
      <c r="E95" s="172"/>
      <c r="F95" s="173"/>
      <c r="G95" s="129"/>
      <c r="H95" s="162" t="s">
        <v>94</v>
      </c>
      <c r="I95" s="163"/>
      <c r="J95" s="163"/>
      <c r="K95" s="163"/>
      <c r="L95" s="190" t="s">
        <v>107</v>
      </c>
      <c r="M95" s="191"/>
      <c r="N95" s="192"/>
      <c r="O95" s="190" t="s">
        <v>99</v>
      </c>
      <c r="P95" s="191"/>
      <c r="Q95" s="191"/>
      <c r="R95" s="191"/>
      <c r="S95" s="191"/>
      <c r="T95" s="191"/>
      <c r="U95" s="191"/>
      <c r="V95" s="181"/>
      <c r="W95" s="181"/>
      <c r="X95" s="181"/>
      <c r="Y95" s="181"/>
      <c r="Z95" s="181"/>
      <c r="AA95" s="188"/>
      <c r="AB95" s="188"/>
      <c r="AC95" s="189"/>
      <c r="AD95" s="176"/>
      <c r="AE95" s="177"/>
      <c r="AF95" s="177"/>
      <c r="AG95" s="177"/>
      <c r="AH95" s="177"/>
      <c r="AI95" s="4"/>
      <c r="AJ95" s="4"/>
      <c r="AK95" s="4"/>
      <c r="AL95" s="1"/>
      <c r="AM95" s="1"/>
      <c r="AN95" s="1"/>
      <c r="AO95" s="1"/>
      <c r="AP95" s="1"/>
      <c r="AQ95" s="1"/>
      <c r="AR95" s="1"/>
      <c r="AS95" s="1"/>
      <c r="AT95" s="1"/>
      <c r="AU95" s="1"/>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row>
    <row r="96" spans="1:113" ht="69" thickBot="1" x14ac:dyDescent="0.3">
      <c r="A96" s="17" t="s">
        <v>43</v>
      </c>
      <c r="B96" s="18" t="s">
        <v>31</v>
      </c>
      <c r="C96" s="18" t="s">
        <v>59</v>
      </c>
      <c r="D96" s="18" t="s">
        <v>31</v>
      </c>
      <c r="E96" s="18" t="s">
        <v>31</v>
      </c>
      <c r="F96" s="18" t="s">
        <v>31</v>
      </c>
      <c r="G96" s="18" t="s">
        <v>250</v>
      </c>
      <c r="H96" s="34" t="s">
        <v>95</v>
      </c>
      <c r="I96" s="34" t="s">
        <v>95</v>
      </c>
      <c r="J96" s="34" t="s">
        <v>95</v>
      </c>
      <c r="K96" s="34" t="s">
        <v>95</v>
      </c>
      <c r="L96" s="34" t="s">
        <v>308</v>
      </c>
      <c r="M96" s="34" t="s">
        <v>308</v>
      </c>
      <c r="N96" s="34" t="s">
        <v>237</v>
      </c>
      <c r="O96" s="34" t="s">
        <v>322</v>
      </c>
      <c r="P96" s="34" t="s">
        <v>100</v>
      </c>
      <c r="Q96" s="34" t="s">
        <v>100</v>
      </c>
      <c r="R96" s="34" t="s">
        <v>215</v>
      </c>
      <c r="S96" s="34" t="s">
        <v>138</v>
      </c>
      <c r="T96" s="34" t="s">
        <v>122</v>
      </c>
      <c r="U96" s="34" t="s">
        <v>122</v>
      </c>
      <c r="V96" s="19" t="s">
        <v>216</v>
      </c>
      <c r="W96" s="19" t="s">
        <v>130</v>
      </c>
      <c r="X96" s="19" t="s">
        <v>31</v>
      </c>
      <c r="Y96" s="19" t="s">
        <v>49</v>
      </c>
      <c r="Z96" s="19" t="s">
        <v>48</v>
      </c>
      <c r="AA96" s="29" t="s">
        <v>233</v>
      </c>
      <c r="AB96" s="29" t="s">
        <v>233</v>
      </c>
      <c r="AC96" s="29" t="s">
        <v>233</v>
      </c>
      <c r="AD96" s="26" t="s">
        <v>19</v>
      </c>
      <c r="AE96" s="26" t="s">
        <v>4</v>
      </c>
      <c r="AF96" s="26" t="s">
        <v>4</v>
      </c>
      <c r="AG96" s="26" t="s">
        <v>234</v>
      </c>
      <c r="AH96" s="26" t="s">
        <v>232</v>
      </c>
      <c r="AI96" s="4"/>
      <c r="AJ96" s="4"/>
      <c r="AK96" s="4"/>
      <c r="AL96" s="1"/>
      <c r="AM96" s="1"/>
      <c r="AN96" s="1"/>
      <c r="AO96" s="1"/>
      <c r="AP96" s="1"/>
      <c r="AQ96" s="1"/>
      <c r="AR96" s="1"/>
      <c r="AS96" s="1"/>
      <c r="AT96" s="1"/>
      <c r="AU96" s="1"/>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c r="DI96" s="5"/>
    </row>
    <row r="97" spans="1:113" ht="63.75" x14ac:dyDescent="0.25">
      <c r="A97" s="10" t="s">
        <v>0</v>
      </c>
      <c r="B97" s="11" t="s">
        <v>50</v>
      </c>
      <c r="C97" s="11" t="s">
        <v>11</v>
      </c>
      <c r="D97" s="11" t="s">
        <v>133</v>
      </c>
      <c r="E97" s="11" t="s">
        <v>60</v>
      </c>
      <c r="F97" s="11" t="s">
        <v>61</v>
      </c>
      <c r="G97" s="11" t="s">
        <v>251</v>
      </c>
      <c r="H97" s="11" t="s">
        <v>96</v>
      </c>
      <c r="I97" s="11" t="s">
        <v>97</v>
      </c>
      <c r="J97" s="11" t="s">
        <v>98</v>
      </c>
      <c r="K97" s="11" t="s">
        <v>101</v>
      </c>
      <c r="L97" s="11" t="s">
        <v>299</v>
      </c>
      <c r="M97" s="11" t="s">
        <v>300</v>
      </c>
      <c r="N97" s="109" t="s">
        <v>236</v>
      </c>
      <c r="O97" s="135" t="s">
        <v>239</v>
      </c>
      <c r="P97" s="11" t="s">
        <v>104</v>
      </c>
      <c r="Q97" s="11" t="s">
        <v>212</v>
      </c>
      <c r="R97" s="11" t="s">
        <v>214</v>
      </c>
      <c r="S97" s="11" t="s">
        <v>126</v>
      </c>
      <c r="T97" s="11" t="s">
        <v>125</v>
      </c>
      <c r="U97" s="11" t="s">
        <v>137</v>
      </c>
      <c r="V97" s="11" t="s">
        <v>136</v>
      </c>
      <c r="W97" s="11" t="s">
        <v>217</v>
      </c>
      <c r="X97" s="11" t="s">
        <v>88</v>
      </c>
      <c r="Y97" s="11" t="s">
        <v>14</v>
      </c>
      <c r="Z97" s="11" t="s">
        <v>15</v>
      </c>
      <c r="AA97" s="11" t="s">
        <v>45</v>
      </c>
      <c r="AB97" s="11" t="s">
        <v>82</v>
      </c>
      <c r="AC97" s="11" t="s">
        <v>83</v>
      </c>
      <c r="AD97" s="11" t="s">
        <v>26</v>
      </c>
      <c r="AE97" s="11" t="s">
        <v>16</v>
      </c>
      <c r="AF97" s="11" t="s">
        <v>17</v>
      </c>
      <c r="AG97" s="11" t="s">
        <v>227</v>
      </c>
      <c r="AH97" s="11" t="s">
        <v>141</v>
      </c>
      <c r="AI97" s="4"/>
      <c r="AJ97" s="4"/>
      <c r="AK97" s="4"/>
      <c r="AL97" s="1"/>
      <c r="AM97" s="1"/>
      <c r="AN97" s="1"/>
      <c r="AO97" s="1"/>
      <c r="AP97" s="1"/>
      <c r="AQ97" s="1"/>
      <c r="AR97" s="1"/>
      <c r="AS97" s="1"/>
      <c r="AT97" s="1"/>
      <c r="AU97" s="1"/>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c r="DI97" s="5"/>
    </row>
    <row r="98" spans="1:113" x14ac:dyDescent="0.25">
      <c r="A98" s="10" t="s">
        <v>9</v>
      </c>
      <c r="B98" s="11" t="s">
        <v>51</v>
      </c>
      <c r="C98" s="11" t="s">
        <v>10</v>
      </c>
      <c r="D98" s="11" t="s">
        <v>134</v>
      </c>
      <c r="E98" s="11" t="s">
        <v>33</v>
      </c>
      <c r="F98" s="11" t="s">
        <v>30</v>
      </c>
      <c r="G98" s="11" t="s">
        <v>129</v>
      </c>
      <c r="H98" s="11" t="s">
        <v>84</v>
      </c>
      <c r="I98" s="11" t="s">
        <v>85</v>
      </c>
      <c r="J98" s="11" t="s">
        <v>86</v>
      </c>
      <c r="K98" s="11" t="s">
        <v>106</v>
      </c>
      <c r="L98" s="11" t="s">
        <v>89</v>
      </c>
      <c r="M98" s="11" t="s">
        <v>90</v>
      </c>
      <c r="N98" s="11" t="s">
        <v>235</v>
      </c>
      <c r="O98" s="136" t="s">
        <v>121</v>
      </c>
      <c r="P98" s="11" t="s">
        <v>105</v>
      </c>
      <c r="Q98" s="11" t="s">
        <v>213</v>
      </c>
      <c r="R98" s="11" t="s">
        <v>115</v>
      </c>
      <c r="S98" s="11" t="s">
        <v>127</v>
      </c>
      <c r="T98" s="11" t="s">
        <v>87</v>
      </c>
      <c r="U98" s="11" t="s">
        <v>119</v>
      </c>
      <c r="V98" s="11" t="s">
        <v>128</v>
      </c>
      <c r="W98" s="11" t="s">
        <v>62</v>
      </c>
      <c r="X98" s="11" t="s">
        <v>24</v>
      </c>
      <c r="Y98" s="11" t="s">
        <v>135</v>
      </c>
      <c r="Z98" s="11" t="s">
        <v>23</v>
      </c>
      <c r="AA98" s="11" t="s">
        <v>44</v>
      </c>
      <c r="AB98" s="11" t="s">
        <v>47</v>
      </c>
      <c r="AC98" s="11" t="s">
        <v>13</v>
      </c>
      <c r="AD98" s="11" t="s">
        <v>18</v>
      </c>
      <c r="AE98" s="11" t="s">
        <v>20</v>
      </c>
      <c r="AF98" s="11" t="s">
        <v>21</v>
      </c>
      <c r="AG98" s="11" t="s">
        <v>228</v>
      </c>
      <c r="AH98" s="11" t="s">
        <v>142</v>
      </c>
      <c r="AI98" s="4"/>
      <c r="AJ98" s="4"/>
      <c r="AK98" s="4"/>
      <c r="AL98" s="1"/>
      <c r="AM98" s="1"/>
      <c r="AN98" s="1"/>
      <c r="AO98" s="1"/>
      <c r="AP98" s="1"/>
      <c r="AQ98" s="1"/>
      <c r="AR98" s="1"/>
      <c r="AS98" s="1"/>
      <c r="AT98" s="1"/>
      <c r="AU98" s="1"/>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c r="DI98" s="5"/>
    </row>
    <row r="99" spans="1:113" x14ac:dyDescent="0.25">
      <c r="A99" s="22">
        <v>2010</v>
      </c>
      <c r="B99" s="28">
        <f>Parameters!$C$3</f>
        <v>2.3E-2</v>
      </c>
      <c r="C99" s="28">
        <f>Parameters!$C$5</f>
        <v>46.486621</v>
      </c>
      <c r="D99" s="70">
        <f>Parameters!$C$19</f>
        <v>0.1</v>
      </c>
      <c r="E99" s="21">
        <f>Parameters!$C$7</f>
        <v>7.9000000000000001E-2</v>
      </c>
      <c r="F99" s="24">
        <f>Parameters!$C$6</f>
        <v>3.8</v>
      </c>
      <c r="G99" s="116">
        <f>11614/10</f>
        <v>1161.4000000000001</v>
      </c>
      <c r="H99" s="14">
        <f>H9</f>
        <v>5559.3172086930372</v>
      </c>
      <c r="I99" s="14">
        <f t="shared" ref="I99:K99" si="100">I9</f>
        <v>30473.280877728444</v>
      </c>
      <c r="J99" s="14">
        <f t="shared" si="100"/>
        <v>47720.347945502341</v>
      </c>
      <c r="K99" s="14">
        <f t="shared" si="100"/>
        <v>166313.54618313035</v>
      </c>
      <c r="L99" s="131">
        <f>L100*(1+0.08)</f>
        <v>52.745541120000013</v>
      </c>
      <c r="M99" s="131">
        <f>M100*(1+0.057)</f>
        <v>56.838255276599995</v>
      </c>
      <c r="N99" s="137">
        <f>Parameters!P54</f>
        <v>36032598.086421482</v>
      </c>
      <c r="O99" s="139">
        <f>(((L99*Parameters!L54)+(M99*Parameters!M54))*Parameters!$C$24)/1000000</f>
        <v>1.9080137557050143</v>
      </c>
      <c r="P99" s="138">
        <f>(H99+I99)/Parameters!B39</f>
        <v>0.12078505660505993</v>
      </c>
      <c r="Q99" s="39">
        <f>Parameters!O54/Parameters!B54</f>
        <v>0.55750049002122004</v>
      </c>
      <c r="R99" s="113">
        <f>(IF(P99-BAU!N101 &lt; 0, 0, P99-BAU!N101))+(IF(BAU!O101-Q99 &lt; 0,  0, BAU!O101-Q99))</f>
        <v>0.12078505660505993</v>
      </c>
      <c r="S99" s="39">
        <f>R99</f>
        <v>0.12078505660505993</v>
      </c>
      <c r="T99" s="32">
        <f>Parameters!$C$30</f>
        <v>0.06</v>
      </c>
      <c r="U99" s="75">
        <f>T99*(S99^Parameters!$C$31)</f>
        <v>1.6135715594268129E-4</v>
      </c>
      <c r="V99" s="21">
        <f>Q99</f>
        <v>0.55750049002122004</v>
      </c>
      <c r="W99" s="21">
        <f t="shared" ref="W99:W107" si="101">(1-S99)*V99*G99</f>
        <v>569.2750315274111</v>
      </c>
      <c r="X99" s="20">
        <f>Parameters!$C$11</f>
        <v>530</v>
      </c>
      <c r="Y99" s="23">
        <f>X99*Parameters!$C$13</f>
        <v>0.95399999999999996</v>
      </c>
      <c r="Z99" s="32">
        <f>1/(1+((Y99/20.46)^2)+((Y99/6081)^6754))</f>
        <v>0.99783058667694802</v>
      </c>
      <c r="AA99" s="28">
        <f>((Parameters!$C$18*F99*Z99)/(D99+B99))^(1/(1-Parameters!$C$21))</f>
        <v>8.8483217392581075</v>
      </c>
      <c r="AB99" s="24">
        <f>(1-U99)*Z99*F99*(AA99^Parameters!$C$21)</f>
        <v>9.0680663492080829</v>
      </c>
      <c r="AC99" s="23">
        <f>(1-Parameters!$C$18)*AB99</f>
        <v>7.9798983873031126</v>
      </c>
      <c r="AD99" s="30">
        <f>LN(AC99)</f>
        <v>2.0769256779599843</v>
      </c>
      <c r="AE99" s="23">
        <f>1/(1+Parameters!$C$22*(A99-$A$9))</f>
        <v>1</v>
      </c>
      <c r="AF99" s="30">
        <f t="shared" ref="AF99:AF107" si="102">C99*AD99*AE99</f>
        <v>96.549256836493839</v>
      </c>
      <c r="AG99" s="30">
        <f>BAU!AF7</f>
        <v>9.1024174870568153</v>
      </c>
      <c r="AH99" s="30">
        <f t="shared" ref="AH99:AH107" si="103">(AB99-AG99)*C99</f>
        <v>-1.5968683260927807</v>
      </c>
      <c r="AI99" s="4"/>
      <c r="AJ99" s="4"/>
      <c r="AK99" s="4"/>
      <c r="AL99" s="1"/>
      <c r="AM99" s="1"/>
      <c r="AN99" s="1"/>
      <c r="AO99" s="1"/>
      <c r="AP99" s="1"/>
      <c r="AQ99" s="1"/>
      <c r="AR99" s="1"/>
      <c r="AS99" s="1"/>
      <c r="AT99" s="1"/>
      <c r="AU99" s="1"/>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c r="DI99" s="5"/>
    </row>
    <row r="100" spans="1:113" x14ac:dyDescent="0.25">
      <c r="A100" s="22">
        <v>2015</v>
      </c>
      <c r="B100" s="27">
        <f>B99/(1+Parameters!$C$4)</f>
        <v>2.1863117870722433E-2</v>
      </c>
      <c r="C100" s="28">
        <f t="shared" ref="C100:C102" si="104">C99*(1+B100)</f>
        <v>47.502963474334599</v>
      </c>
      <c r="D100" s="70">
        <f>Parameters!$C$19+(Parameters!$C$20*R100)</f>
        <v>0.10018658927730062</v>
      </c>
      <c r="E100" s="25">
        <f>($E$9/((1+Parameters!$C$8)^(A100-$A$9)))-Parameters!$C$9*Y100</f>
        <v>7.5470555376486406E-2</v>
      </c>
      <c r="F100" s="24">
        <f>F99*(1+E100)</f>
        <v>4.0867881104306489</v>
      </c>
      <c r="G100" s="116">
        <v>1221.3</v>
      </c>
      <c r="H100" s="14">
        <f t="shared" ref="H100:K100" si="105">H10</f>
        <v>8406.2977035764925</v>
      </c>
      <c r="I100" s="14">
        <f t="shared" si="105"/>
        <v>43620.965196725607</v>
      </c>
      <c r="J100" s="14">
        <f t="shared" si="105"/>
        <v>37889.206829909628</v>
      </c>
      <c r="K100" s="14">
        <f t="shared" si="105"/>
        <v>141517.96380639906</v>
      </c>
      <c r="L100" s="131">
        <f>L101*(1+0.08)</f>
        <v>48.838464000000009</v>
      </c>
      <c r="M100" s="131">
        <f>M101*(1+0.057)</f>
        <v>53.773183799999998</v>
      </c>
      <c r="N100" s="137">
        <f>Parameters!P55</f>
        <v>52027262.900302097</v>
      </c>
      <c r="O100" s="139">
        <f>(((L100*Parameters!L55)+(M100*Parameters!M55))*Parameters!$C$24)/1000000</f>
        <v>2.5966055125950875</v>
      </c>
      <c r="P100" s="138">
        <f>(H100+I100)/Parameters!B40</f>
        <v>0.1865892773006082</v>
      </c>
      <c r="Q100" s="39">
        <f>Parameters!O55/Parameters!B55</f>
        <v>0.50753649374732535</v>
      </c>
      <c r="R100" s="113">
        <f>(IF(P100-BAU!N102 &lt; 0, 0, P100-BAU!N102))+(IF(BAU!O102-Q100 &lt; 0,  0, BAU!O102-Q100))</f>
        <v>0.1865892773006082</v>
      </c>
      <c r="S100" s="39">
        <f t="shared" ref="S100:S107" si="106">R100</f>
        <v>0.1865892773006082</v>
      </c>
      <c r="T100" s="32">
        <f t="shared" ref="T100:T107" si="107">T99*(1+(-E100))</f>
        <v>5.5471766677410814E-2</v>
      </c>
      <c r="U100" s="75">
        <f>T100*(S100^Parameters!$C$31)</f>
        <v>5.0414412304362042E-4</v>
      </c>
      <c r="V100" s="21">
        <f t="shared" ref="V100:V106" si="108">Q100</f>
        <v>0.50753649374732535</v>
      </c>
      <c r="W100" s="21">
        <f t="shared" si="101"/>
        <v>504.19615024792716</v>
      </c>
      <c r="X100" s="20">
        <f>X99+(W100/Parameters!$C$12)</f>
        <v>667.50804097670743</v>
      </c>
      <c r="Y100" s="23">
        <f>X100*Parameters!$C$13</f>
        <v>1.2015144737580734</v>
      </c>
      <c r="Z100" s="32">
        <f t="shared" ref="Z100:Z107" si="109">1/(1+((Y100/20.46)^2)+((Y100/6081)^6754))</f>
        <v>0.9965632209686156</v>
      </c>
      <c r="AA100" s="28">
        <f>((Parameters!$C$18*F100*Z100)/(D100+B100))^(1/(1-Parameters!$C$21))</f>
        <v>10.097622592175401</v>
      </c>
      <c r="AB100" s="24">
        <f>(1-U100)*Z100*F100*(AA100^Parameters!$C$21)</f>
        <v>10.264921392163862</v>
      </c>
      <c r="AC100" s="23">
        <f>(1-Parameters!$C$18)*AB100</f>
        <v>9.0331308251041982</v>
      </c>
      <c r="AD100" s="30">
        <f t="shared" ref="AD100:AD107" si="110">LN(AC100)</f>
        <v>2.200899021081117</v>
      </c>
      <c r="AE100" s="23">
        <f>1/(1+Parameters!$C$22*(A100-$A$9))</f>
        <v>0.93023255813953487</v>
      </c>
      <c r="AF100" s="30">
        <f t="shared" si="102"/>
        <v>97.255093775920997</v>
      </c>
      <c r="AG100" s="30">
        <f>BAU!AF8</f>
        <v>10.358997143018955</v>
      </c>
      <c r="AH100" s="30">
        <f t="shared" si="103"/>
        <v>-4.4688769566901225</v>
      </c>
      <c r="AI100" s="4"/>
      <c r="AJ100" s="4"/>
      <c r="AK100" s="4"/>
      <c r="AL100" s="1"/>
      <c r="AM100" s="1"/>
      <c r="AN100" s="1"/>
      <c r="AO100" s="1"/>
      <c r="AP100" s="1"/>
      <c r="AQ100" s="1"/>
      <c r="AR100" s="1"/>
      <c r="AS100" s="1"/>
      <c r="AT100" s="1"/>
      <c r="AU100" s="1"/>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row>
    <row r="101" spans="1:113" x14ac:dyDescent="0.25">
      <c r="A101" s="22">
        <v>2020</v>
      </c>
      <c r="B101" s="27">
        <f>B100/(1+Parameters!$C$4)</f>
        <v>2.0782431436047938E-2</v>
      </c>
      <c r="C101" s="28">
        <f t="shared" si="104"/>
        <v>48.490190555749045</v>
      </c>
      <c r="D101" s="70">
        <f>Parameters!$C$19+(Parameters!$C$20*R101)</f>
        <v>0.10029632023482073</v>
      </c>
      <c r="E101" s="25">
        <f>($E$9/((1+Parameters!$C$8)^(A101-$A$9)))-Parameters!$C$9*Y101</f>
        <v>7.3037884859636137E-2</v>
      </c>
      <c r="F101" s="24">
        <f>F100*(1+E101)</f>
        <v>4.3852784698860123</v>
      </c>
      <c r="G101" s="116">
        <v>1227.2</v>
      </c>
      <c r="H101" s="14">
        <f t="shared" ref="H101:K101" si="111">H11</f>
        <v>13748.398137477629</v>
      </c>
      <c r="I101" s="14">
        <f t="shared" si="111"/>
        <v>59277.541479991487</v>
      </c>
      <c r="J101" s="14">
        <f t="shared" si="111"/>
        <v>29881.531838158284</v>
      </c>
      <c r="K101" s="14">
        <f t="shared" si="111"/>
        <v>100767.29344666607</v>
      </c>
      <c r="L101" s="132">
        <f>Parameters!B113</f>
        <v>45.220800000000004</v>
      </c>
      <c r="M101" s="132">
        <f>Parameters!B115</f>
        <v>50.873400000000004</v>
      </c>
      <c r="N101" s="137">
        <f>Parameters!P56</f>
        <v>73025939.617469117</v>
      </c>
      <c r="O101" s="139">
        <f>(((L101*Parameters!L56)+(M101*Parameters!M56))*Parameters!$C$24)/1000000</f>
        <v>3.4267602863966102</v>
      </c>
      <c r="P101" s="138">
        <f>(H101+I101)/Parameters!B41</f>
        <v>0.29632023482072567</v>
      </c>
      <c r="Q101" s="39">
        <f>Parameters!O56/Parameters!B56</f>
        <v>0.40888742017942015</v>
      </c>
      <c r="R101" s="113">
        <f>(IF(P101-BAU!N103 &lt; 0, 0, P101-BAU!N103))+(IF(BAU!O103-Q101 &lt; 0,  0, BAU!O103-Q101))</f>
        <v>0.29632023482072567</v>
      </c>
      <c r="S101" s="39">
        <f t="shared" si="106"/>
        <v>0.29632023482072567</v>
      </c>
      <c r="T101" s="32">
        <f t="shared" si="107"/>
        <v>5.1420226169865482E-2</v>
      </c>
      <c r="U101" s="75">
        <f>T101*(S101^Parameters!$C$31)</f>
        <v>1.7063403008364827E-3</v>
      </c>
      <c r="V101" s="21">
        <f t="shared" si="108"/>
        <v>0.40888742017942015</v>
      </c>
      <c r="W101" s="21">
        <f t="shared" si="101"/>
        <v>353.09710644374832</v>
      </c>
      <c r="X101" s="20">
        <f>X100+(W101/Parameters!$C$12)</f>
        <v>763.80725182500248</v>
      </c>
      <c r="Y101" s="23">
        <f>X101*Parameters!$C$13</f>
        <v>1.3748530532850045</v>
      </c>
      <c r="Z101" s="32">
        <f t="shared" si="109"/>
        <v>0.99550484486844804</v>
      </c>
      <c r="AA101" s="28">
        <f>((Parameters!$C$18*F101*Z101)/(D101+B101))^(1/(1-Parameters!$C$21))</f>
        <v>11.48831786670112</v>
      </c>
      <c r="AB101" s="24">
        <f>(1-U101)*Z101*F101*(AA101^Parameters!$C$21)</f>
        <v>11.571814014828007</v>
      </c>
      <c r="AC101" s="23">
        <f>(1-Parameters!$C$18)*AB101</f>
        <v>10.183196333048647</v>
      </c>
      <c r="AD101" s="30">
        <f t="shared" si="110"/>
        <v>2.3207389434758854</v>
      </c>
      <c r="AE101" s="23">
        <f>1/(1+Parameters!$C$22*(A101-$A$9))</f>
        <v>0.86956521739130443</v>
      </c>
      <c r="AF101" s="30">
        <f t="shared" si="102"/>
        <v>97.854846608081218</v>
      </c>
      <c r="AG101" s="30">
        <f>BAU!AF9</f>
        <v>11.74488149448006</v>
      </c>
      <c r="AH101" s="30">
        <f t="shared" si="103"/>
        <v>-8.3920750673312625</v>
      </c>
      <c r="AI101" s="4"/>
      <c r="AJ101" s="4"/>
      <c r="AK101" s="4"/>
      <c r="AL101" s="1"/>
      <c r="AM101" s="1"/>
      <c r="AN101" s="1"/>
      <c r="AO101" s="1"/>
      <c r="AP101" s="1"/>
      <c r="AQ101" s="1"/>
      <c r="AR101" s="1"/>
      <c r="AS101" s="1"/>
      <c r="AT101" s="1"/>
      <c r="AU101" s="1"/>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c r="DI101" s="5"/>
    </row>
    <row r="102" spans="1:113" x14ac:dyDescent="0.25">
      <c r="A102" s="22">
        <v>2025</v>
      </c>
      <c r="B102" s="27">
        <f>B101/(1+Parameters!$C$4)</f>
        <v>1.9755162962022753E-2</v>
      </c>
      <c r="C102" s="28">
        <f t="shared" si="104"/>
        <v>49.448122172237404</v>
      </c>
      <c r="D102" s="70">
        <f>Parameters!$C$19+(Parameters!$C$20*R102)</f>
        <v>0.10036668459646966</v>
      </c>
      <c r="E102" s="25">
        <f>($E$9/((1+Parameters!$C$8)^(A102-$A$9)))-Parameters!$C$9*Y102</f>
        <v>7.0687875584484181E-2</v>
      </c>
      <c r="F102" s="24">
        <f>F101*(1+E102)</f>
        <v>4.6952644887686317</v>
      </c>
      <c r="G102" s="116">
        <v>1401.8</v>
      </c>
      <c r="H102" s="14">
        <f t="shared" ref="H102:K102" si="112">H12</f>
        <v>23575.277537099944</v>
      </c>
      <c r="I102" s="14">
        <f t="shared" si="112"/>
        <v>79031.280607138498</v>
      </c>
      <c r="J102" s="14">
        <f t="shared" si="112"/>
        <v>27272.361473606685</v>
      </c>
      <c r="K102" s="14">
        <f t="shared" si="112"/>
        <v>100966.50990071571</v>
      </c>
      <c r="L102" s="131">
        <f>L101*(1-0.08)</f>
        <v>41.603136000000006</v>
      </c>
      <c r="M102" s="131">
        <f>M101*(1-0.057)</f>
        <v>47.973616200000002</v>
      </c>
      <c r="N102" s="137">
        <f>Parameters!P57</f>
        <v>102606558.14423844</v>
      </c>
      <c r="O102" s="139">
        <f>(((L102*Parameters!L57)+(M102*Parameters!M57))*Parameters!$C$24)/1000000</f>
        <v>4.4959101589624106</v>
      </c>
      <c r="P102" s="138">
        <f>(H102+I102)/Parameters!B42</f>
        <v>0.3666845964696584</v>
      </c>
      <c r="Q102" s="39">
        <f>Parameters!O57/Parameters!B57</f>
        <v>0.36082356342027461</v>
      </c>
      <c r="R102" s="113">
        <f>(IF(P102-BAU!N104 &lt; 0, 0, P102-BAU!N104))+(IF(BAU!O104-Q102 &lt; 0,  0, BAU!O104-Q102))</f>
        <v>0.3666845964696584</v>
      </c>
      <c r="S102" s="39">
        <f t="shared" si="106"/>
        <v>0.3666845964696584</v>
      </c>
      <c r="T102" s="32">
        <f t="shared" si="107"/>
        <v>4.7785439619843995E-2</v>
      </c>
      <c r="U102" s="75">
        <f>T102*(S102^Parameters!$C$31)</f>
        <v>2.8794865383562373E-3</v>
      </c>
      <c r="V102" s="21">
        <f t="shared" si="108"/>
        <v>0.36082356342027461</v>
      </c>
      <c r="W102" s="21">
        <f t="shared" si="101"/>
        <v>320.33249615628125</v>
      </c>
      <c r="X102" s="20">
        <f>X101+(W102/Parameters!$C$12)</f>
        <v>851.17065986762464</v>
      </c>
      <c r="Y102" s="23">
        <f>X102*Parameters!$C$13</f>
        <v>1.5321071877617243</v>
      </c>
      <c r="Z102" s="32">
        <f t="shared" si="109"/>
        <v>0.99442379732937314</v>
      </c>
      <c r="AA102" s="28">
        <f>((Parameters!$C$18*F102*Z102)/(D102+B102))^(1/(1-Parameters!$C$21))</f>
        <v>13.021210357687648</v>
      </c>
      <c r="AB102" s="24">
        <f>(1-U102)*Z102*F102*(AA102^Parameters!$C$21)</f>
        <v>12.996899575163008</v>
      </c>
      <c r="AC102" s="23">
        <f>(1-Parameters!$C$18)*AB102</f>
        <v>11.437271626143447</v>
      </c>
      <c r="AD102" s="30">
        <f t="shared" si="110"/>
        <v>2.4368774632891532</v>
      </c>
      <c r="AE102" s="23">
        <f>1/(1+Parameters!$C$22*(A102-$A$9))</f>
        <v>0.81632653061224481</v>
      </c>
      <c r="AF102" s="30">
        <f t="shared" si="102"/>
        <v>98.366542468158372</v>
      </c>
      <c r="AG102" s="30">
        <f>BAU!AF10</f>
        <v>13.267674708883096</v>
      </c>
      <c r="AH102" s="30">
        <f t="shared" si="103"/>
        <v>-13.389321893394825</v>
      </c>
      <c r="AI102" s="4"/>
      <c r="AJ102" s="4"/>
      <c r="AK102" s="4"/>
      <c r="AL102" s="1"/>
      <c r="AM102" s="1"/>
      <c r="AN102" s="1"/>
      <c r="AO102" s="1"/>
      <c r="AP102" s="1"/>
      <c r="AQ102" s="1"/>
      <c r="AR102" s="1"/>
      <c r="AS102" s="1"/>
      <c r="AT102" s="1"/>
      <c r="AU102" s="1"/>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row>
    <row r="103" spans="1:113" x14ac:dyDescent="0.25">
      <c r="A103" s="22">
        <v>2030</v>
      </c>
      <c r="B103" s="27">
        <f>B102/(1+Parameters!$C$4)</f>
        <v>1.8778672017131893E-2</v>
      </c>
      <c r="C103" s="28">
        <f>C102*(1+B103)</f>
        <v>50.376692240372918</v>
      </c>
      <c r="D103" s="70">
        <f>Parameters!$C$19+(Parameters!$C$20*R103)</f>
        <v>0.1005022957451485</v>
      </c>
      <c r="E103" s="25">
        <f>($E$9/((1+Parameters!$C$8)^(A103-$A$9)))-Parameters!$C$9*Y103</f>
        <v>6.8460223805329179E-2</v>
      </c>
      <c r="F103" s="24">
        <f t="shared" ref="F103:F106" si="113">F102*(1+E103)</f>
        <v>5.0167033464949462</v>
      </c>
      <c r="G103" s="116">
        <v>1481.4</v>
      </c>
      <c r="H103" s="14">
        <f t="shared" ref="H103:K103" si="114">H13</f>
        <v>43722.485301554501</v>
      </c>
      <c r="I103" s="14">
        <f t="shared" si="114"/>
        <v>105193.26992963694</v>
      </c>
      <c r="J103" s="14">
        <f t="shared" si="114"/>
        <v>20043.307146330913</v>
      </c>
      <c r="K103" s="14">
        <f t="shared" si="114"/>
        <v>81509.837198496054</v>
      </c>
      <c r="L103" s="131">
        <f t="shared" ref="L103:L107" si="115">L102*(1-0.08)</f>
        <v>38.274885120000008</v>
      </c>
      <c r="M103" s="131">
        <f t="shared" ref="M103:M107" si="116">M102*(1-0.057)</f>
        <v>45.239120076600003</v>
      </c>
      <c r="N103" s="137">
        <f>Parameters!P58</f>
        <v>148915755.23119143</v>
      </c>
      <c r="O103" s="139">
        <f>(((L103*Parameters!L58)+(M103*Parameters!M58))*Parameters!$C$24)/1000000</f>
        <v>6.0598925079249506</v>
      </c>
      <c r="P103" s="138">
        <f>(H103+I103)/Parameters!B43</f>
        <v>0.5022957451484964</v>
      </c>
      <c r="Q103" s="39">
        <f>Parameters!O58/Parameters!B58</f>
        <v>0.27493426970832441</v>
      </c>
      <c r="R103" s="113">
        <f>(IF(P103-BAU!N105 &lt; 0, 0, P103-BAU!N105))+(IF(BAU!O105-Q103 &lt; 0,  0, BAU!O105-Q103))</f>
        <v>0.5022957451484964</v>
      </c>
      <c r="S103" s="39">
        <f t="shared" si="106"/>
        <v>0.5022957451484964</v>
      </c>
      <c r="T103" s="32">
        <f t="shared" si="107"/>
        <v>4.451403772883343E-2</v>
      </c>
      <c r="U103" s="75">
        <f>T103*(S103^Parameters!$C$31)</f>
        <v>6.4741623784008275E-3</v>
      </c>
      <c r="V103" s="21">
        <f t="shared" si="108"/>
        <v>0.27493426970832441</v>
      </c>
      <c r="W103" s="21">
        <f t="shared" si="101"/>
        <v>202.70878497889308</v>
      </c>
      <c r="X103" s="20">
        <f>X102+(W103/Parameters!$C$12)</f>
        <v>906.45487395277735</v>
      </c>
      <c r="Y103" s="23">
        <f>X103*Parameters!$C$13</f>
        <v>1.6316187731149991</v>
      </c>
      <c r="Z103" s="32">
        <f t="shared" si="109"/>
        <v>0.99368064202354611</v>
      </c>
      <c r="AA103" s="28">
        <f>((Parameters!$C$18*F103*Z103)/(D103+B103))^(1/(1-Parameters!$C$21))</f>
        <v>14.693510578636028</v>
      </c>
      <c r="AB103" s="24">
        <f>(1-U103)*Z103*F103*(AA103^Parameters!$C$21)</f>
        <v>14.510909842175128</v>
      </c>
      <c r="AC103" s="23">
        <f>(1-Parameters!$C$18)*AB103</f>
        <v>12.769600661114113</v>
      </c>
      <c r="AD103" s="30">
        <f t="shared" si="110"/>
        <v>2.5470673979121057</v>
      </c>
      <c r="AE103" s="23">
        <f>1/(1+Parameters!$C$22*(A103-$A$9))</f>
        <v>0.76923076923076916</v>
      </c>
      <c r="AF103" s="30">
        <f t="shared" si="102"/>
        <v>98.702177246235095</v>
      </c>
      <c r="AG103" s="30">
        <f>BAU!AF11</f>
        <v>14.934834851616968</v>
      </c>
      <c r="AH103" s="30">
        <f t="shared" si="103"/>
        <v>-21.35593973364875</v>
      </c>
      <c r="AI103" s="4"/>
      <c r="AJ103" s="4"/>
      <c r="AK103" s="4"/>
      <c r="AL103" s="1"/>
      <c r="AM103" s="1"/>
      <c r="AN103" s="1"/>
      <c r="AO103" s="1"/>
      <c r="AP103" s="1"/>
      <c r="AQ103" s="1"/>
      <c r="AR103" s="1"/>
      <c r="AS103" s="1"/>
      <c r="AT103" s="1"/>
      <c r="AU103" s="1"/>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5"/>
      <c r="DG103" s="5"/>
      <c r="DH103" s="5"/>
      <c r="DI103" s="5"/>
    </row>
    <row r="104" spans="1:113" x14ac:dyDescent="0.25">
      <c r="A104" s="22">
        <v>2035</v>
      </c>
      <c r="B104" s="27">
        <f>B103/(1+Parameters!$C$4)</f>
        <v>1.7850448685486589E-2</v>
      </c>
      <c r="C104" s="28">
        <f t="shared" ref="C104:C107" si="117">C103*(1+B104)</f>
        <v>51.27593880015425</v>
      </c>
      <c r="D104" s="70">
        <f>Parameters!$C$19+(Parameters!$C$20*R104)</f>
        <v>0.10057015668210273</v>
      </c>
      <c r="E104" s="25">
        <f>($E$9/((1+Parameters!$C$8)^(A104-$A$9)))-Parameters!$C$9*Y104</f>
        <v>6.6321656836025089E-2</v>
      </c>
      <c r="F104" s="24">
        <f t="shared" si="113"/>
        <v>5.349419424289322</v>
      </c>
      <c r="G104" s="116">
        <v>1574.3</v>
      </c>
      <c r="H104" s="14">
        <f t="shared" ref="H104:K104" si="118">H14</f>
        <v>56901.485786933714</v>
      </c>
      <c r="I104" s="14">
        <f t="shared" si="118"/>
        <v>118459.12846488837</v>
      </c>
      <c r="J104" s="14">
        <f t="shared" si="118"/>
        <v>15560.399481870791</v>
      </c>
      <c r="K104" s="14">
        <f t="shared" si="118"/>
        <v>67714.283811454661</v>
      </c>
      <c r="L104" s="131">
        <f t="shared" si="115"/>
        <v>35.21289431040001</v>
      </c>
      <c r="M104" s="131">
        <f t="shared" si="116"/>
        <v>42.660490232233798</v>
      </c>
      <c r="N104" s="137">
        <f>Parameters!P59</f>
        <v>175360614.25182208</v>
      </c>
      <c r="O104" s="139">
        <f>(((L104*Parameters!L59)+(M104*Parameters!M59))*Parameters!$C$24)/1000000</f>
        <v>6.6485791680860267</v>
      </c>
      <c r="P104" s="138">
        <f>(H104+I104)/Parameters!B44</f>
        <v>0.57015668210272508</v>
      </c>
      <c r="Q104" s="39">
        <f>Parameters!O59/Parameters!B59</f>
        <v>0.22016204467360953</v>
      </c>
      <c r="R104" s="113">
        <f>(IF(P104-BAU!N106 &lt; 0, 0, P104-BAU!N106))+(IF(BAU!O106-Q104 &lt; 0,  0, BAU!O106-Q104))</f>
        <v>0.57015668210272508</v>
      </c>
      <c r="S104" s="39">
        <f t="shared" si="106"/>
        <v>0.57015668210272508</v>
      </c>
      <c r="T104" s="32">
        <f t="shared" si="107"/>
        <v>4.1561792994195865E-2</v>
      </c>
      <c r="U104" s="75">
        <f>T104*(S104^Parameters!$C$31)</f>
        <v>8.6194208658389795E-3</v>
      </c>
      <c r="V104" s="21">
        <f t="shared" si="108"/>
        <v>0.22016204467360953</v>
      </c>
      <c r="W104" s="21">
        <f t="shared" si="101"/>
        <v>148.98416978951471</v>
      </c>
      <c r="X104" s="20">
        <f>X103+(W104/Parameters!$C$12)</f>
        <v>947.08692025900859</v>
      </c>
      <c r="Y104" s="23">
        <f>X104*Parameters!$C$13</f>
        <v>1.7047564564662154</v>
      </c>
      <c r="Z104" s="32">
        <f t="shared" si="109"/>
        <v>0.99310540476995168</v>
      </c>
      <c r="AA104" s="28">
        <f>((Parameters!$C$18*F104*Z104)/(D104+B104))^(1/(1-Parameters!$C$21))</f>
        <v>16.535853206572906</v>
      </c>
      <c r="AB104" s="24">
        <f>(1-U104)*Z104*F104*(AA104^Parameters!$C$21)</f>
        <v>16.17756099920955</v>
      </c>
      <c r="AC104" s="23">
        <f>(1-Parameters!$C$18)*AB104</f>
        <v>14.236253679304404</v>
      </c>
      <c r="AD104" s="30">
        <f t="shared" si="110"/>
        <v>2.6557917870525687</v>
      </c>
      <c r="AE104" s="23">
        <f>1/(1+Parameters!$C$22*(A104-$A$9))</f>
        <v>0.72727272727272729</v>
      </c>
      <c r="AF104" s="30">
        <f t="shared" si="102"/>
        <v>99.038703373716217</v>
      </c>
      <c r="AG104" s="30">
        <f>BAU!AF12</f>
        <v>16.753616251228273</v>
      </c>
      <c r="AH104" s="30">
        <f t="shared" si="103"/>
        <v>-29.537773848019452</v>
      </c>
      <c r="AI104" s="4"/>
      <c r="AJ104" s="4"/>
      <c r="AK104" s="4"/>
      <c r="AL104" s="1"/>
      <c r="AM104" s="1"/>
      <c r="AN104" s="1"/>
      <c r="AO104" s="1"/>
      <c r="AP104" s="1"/>
      <c r="AQ104" s="1"/>
      <c r="AR104" s="1"/>
      <c r="AS104" s="1"/>
      <c r="AT104" s="1"/>
      <c r="AU104" s="1"/>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row>
    <row r="105" spans="1:113" x14ac:dyDescent="0.25">
      <c r="A105" s="22">
        <v>2040</v>
      </c>
      <c r="B105" s="27">
        <f>B104/(1+Parameters!$C$4)</f>
        <v>1.6968107115481548E-2</v>
      </c>
      <c r="C105" s="28">
        <f t="shared" si="117"/>
        <v>52.14599442216214</v>
      </c>
      <c r="D105" s="70">
        <f>Parameters!$C$19+(Parameters!$C$20*R105)</f>
        <v>0.10063510905619226</v>
      </c>
      <c r="E105" s="25">
        <f>($E$9/((1+Parameters!$C$8)^(A105-$A$9)))-Parameters!$C$9*Y105</f>
        <v>6.4265769131261627E-2</v>
      </c>
      <c r="F105" s="24">
        <f t="shared" si="113"/>
        <v>5.6932039779969861</v>
      </c>
      <c r="G105" s="116">
        <v>1689.8</v>
      </c>
      <c r="H105" s="14">
        <f t="shared" ref="H105:K105" si="119">H15</f>
        <v>69860.585141586096</v>
      </c>
      <c r="I105" s="14">
        <f t="shared" si="119"/>
        <v>133139.70793283489</v>
      </c>
      <c r="J105" s="14">
        <f t="shared" si="119"/>
        <v>12726.081927138761</v>
      </c>
      <c r="K105" s="14">
        <f t="shared" si="119"/>
        <v>54193.518151949807</v>
      </c>
      <c r="L105" s="131">
        <f t="shared" si="115"/>
        <v>32.395862765568012</v>
      </c>
      <c r="M105" s="131">
        <f t="shared" si="116"/>
        <v>40.228842288996468</v>
      </c>
      <c r="N105" s="137">
        <f>Parameters!P60</f>
        <v>203000293.07442099</v>
      </c>
      <c r="O105" s="139">
        <f>(((L105*Parameters!L60)+(M105*Parameters!M60))*Parameters!$C$24)/1000000</f>
        <v>7.1780956528018249</v>
      </c>
      <c r="P105" s="138">
        <f>(H105+I105)/Parameters!B45</f>
        <v>0.63510905619225155</v>
      </c>
      <c r="Q105" s="39">
        <f>Parameters!O60/Parameters!B60</f>
        <v>0.16955046539072915</v>
      </c>
      <c r="R105" s="113">
        <f>(IF(P105-BAU!N107 &lt; 0, 0, P105-BAU!N107))+(IF(BAU!O107-Q105 &lt; 0,  0, BAU!O107-Q105))</f>
        <v>0.63510905619225155</v>
      </c>
      <c r="S105" s="39">
        <f t="shared" si="106"/>
        <v>0.63510905619225155</v>
      </c>
      <c r="T105" s="32">
        <f t="shared" si="107"/>
        <v>3.8890792400949586E-2</v>
      </c>
      <c r="U105" s="75">
        <f>T105*(S105^Parameters!$C$31)</f>
        <v>1.0909932093276198E-2</v>
      </c>
      <c r="V105" s="21">
        <f t="shared" si="108"/>
        <v>0.16955046539072915</v>
      </c>
      <c r="W105" s="21">
        <f t="shared" si="101"/>
        <v>104.5435820978299</v>
      </c>
      <c r="X105" s="20">
        <f>X104+(W105/Parameters!$C$12)</f>
        <v>975.59880628568953</v>
      </c>
      <c r="Y105" s="23">
        <f>X105*Parameters!$C$13</f>
        <v>1.7560778513142412</v>
      </c>
      <c r="Z105" s="32">
        <f t="shared" si="109"/>
        <v>0.99268711645659402</v>
      </c>
      <c r="AA105" s="28">
        <f>((Parameters!$C$18*F105*Z105)/(D105+B105))^(1/(1-Parameters!$C$21))</f>
        <v>18.54464943834677</v>
      </c>
      <c r="AB105" s="24">
        <f>(1-U105)*Z105*F105*(AA105^Parameters!$C$21)</f>
        <v>17.975973601481723</v>
      </c>
      <c r="AC105" s="23">
        <f>(1-Parameters!$C$18)*AB105</f>
        <v>15.818856769303917</v>
      </c>
      <c r="AD105" s="30">
        <f t="shared" si="110"/>
        <v>2.7612026948296595</v>
      </c>
      <c r="AE105" s="23">
        <f>1/(1+Parameters!$C$22*(A105-$A$9))</f>
        <v>0.68965517241379315</v>
      </c>
      <c r="AF105" s="30">
        <f t="shared" si="102"/>
        <v>99.30045539520448</v>
      </c>
      <c r="AG105" s="30">
        <f>BAU!AF13</f>
        <v>18.731012679021322</v>
      </c>
      <c r="AH105" s="30">
        <f t="shared" si="103"/>
        <v>-39.372263525894411</v>
      </c>
      <c r="AI105" s="4"/>
      <c r="AJ105" s="4"/>
      <c r="AK105" s="4"/>
      <c r="AL105" s="1"/>
      <c r="AM105" s="1"/>
      <c r="AN105" s="1"/>
      <c r="AO105" s="1"/>
      <c r="AP105" s="1"/>
      <c r="AQ105" s="1"/>
      <c r="AR105" s="1"/>
      <c r="AS105" s="1"/>
      <c r="AT105" s="1"/>
      <c r="AU105" s="1"/>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5"/>
      <c r="DG105" s="5"/>
      <c r="DH105" s="5"/>
      <c r="DI105" s="5"/>
    </row>
    <row r="106" spans="1:113" x14ac:dyDescent="0.25">
      <c r="A106" s="22">
        <v>2045</v>
      </c>
      <c r="B106" s="27">
        <f>B105/(1+Parameters!$C$4)</f>
        <v>1.6129379387339875E-2</v>
      </c>
      <c r="C106" s="28">
        <f t="shared" si="117"/>
        <v>52.987076949727296</v>
      </c>
      <c r="D106" s="70">
        <f>Parameters!$C$19+(Parameters!$C$20*R106)</f>
        <v>0.1006775281235489</v>
      </c>
      <c r="E106" s="25">
        <f>($E$9/((1+Parameters!$C$8)^(A106-$A$9)))-Parameters!$C$9*Y106</f>
        <v>6.2279826877473986E-2</v>
      </c>
      <c r="F106" s="24">
        <f t="shared" si="113"/>
        <v>6.0477757361247848</v>
      </c>
      <c r="G106" s="116">
        <v>1814.7</v>
      </c>
      <c r="H106" s="14">
        <f t="shared" ref="H106:K106" si="120">H16</f>
        <v>80152.999476753161</v>
      </c>
      <c r="I106" s="14">
        <f t="shared" si="120"/>
        <v>141245.98279090913</v>
      </c>
      <c r="J106" s="14">
        <f t="shared" si="120"/>
        <v>9785.4371310306251</v>
      </c>
      <c r="K106" s="14">
        <f t="shared" si="120"/>
        <v>46006.597989740636</v>
      </c>
      <c r="L106" s="131">
        <f t="shared" si="115"/>
        <v>29.804193744322571</v>
      </c>
      <c r="M106" s="131">
        <f t="shared" si="116"/>
        <v>37.93579827852367</v>
      </c>
      <c r="N106" s="137">
        <f>Parameters!P61</f>
        <v>221398982.26766229</v>
      </c>
      <c r="O106" s="139">
        <f>(((L106*Parameters!L61)+(M106*Parameters!M61))*Parameters!$C$24)/1000000</f>
        <v>7.2986132249538453</v>
      </c>
      <c r="P106" s="138">
        <f>(H106+I106)/Parameters!B46</f>
        <v>0.67752812354888481</v>
      </c>
      <c r="Q106" s="39">
        <f>Parameters!O61/Parameters!B61</f>
        <v>0.14079000584190896</v>
      </c>
      <c r="R106" s="113">
        <f>(IF(P106-BAU!N108 &lt; 0, 0, P106-BAU!N108))+(IF(BAU!O108-Q106 &lt; 0,  0, BAU!O108-Q106))</f>
        <v>0.67752812354888481</v>
      </c>
      <c r="S106" s="39">
        <f t="shared" si="106"/>
        <v>0.67752812354888481</v>
      </c>
      <c r="T106" s="32">
        <f t="shared" si="107"/>
        <v>3.6468680583090662E-2</v>
      </c>
      <c r="U106" s="75">
        <f>T106*(S106^Parameters!$C$31)</f>
        <v>1.2260736723422826E-2</v>
      </c>
      <c r="V106" s="21">
        <f t="shared" si="108"/>
        <v>0.14079000584190896</v>
      </c>
      <c r="W106" s="21">
        <f t="shared" si="101"/>
        <v>82.388863280257169</v>
      </c>
      <c r="X106" s="20">
        <f>X105+(W106/Parameters!$C$12)</f>
        <v>998.06849627121426</v>
      </c>
      <c r="Y106" s="23">
        <f>X106*Parameters!$C$13</f>
        <v>1.7965232932881856</v>
      </c>
      <c r="Z106" s="32">
        <f t="shared" si="109"/>
        <v>0.99234898809910066</v>
      </c>
      <c r="AA106" s="28">
        <f>((Parameters!$C$18*F106*Z106)/(D106+B106))^(1/(1-Parameters!$C$21))</f>
        <v>20.731053977876538</v>
      </c>
      <c r="AB106" s="24">
        <f>(1-U106)*Z106*F106*(AA106^Parameters!$C$21)</f>
        <v>19.932004658871776</v>
      </c>
      <c r="AC106" s="23">
        <f>(1-Parameters!$C$18)*AB106</f>
        <v>17.540164099807164</v>
      </c>
      <c r="AD106" s="30">
        <f t="shared" si="110"/>
        <v>2.864493342647545</v>
      </c>
      <c r="AE106" s="23">
        <f>1/(1+Parameters!$C$22*(A106-$A$9))</f>
        <v>0.65573770491803285</v>
      </c>
      <c r="AF106" s="30">
        <f t="shared" si="102"/>
        <v>99.528609291047246</v>
      </c>
      <c r="AG106" s="30">
        <f>BAU!AF14</f>
        <v>20.873702061172605</v>
      </c>
      <c r="AH106" s="30">
        <f t="shared" si="103"/>
        <v>-49.897792719072314</v>
      </c>
      <c r="AI106" s="4"/>
      <c r="AJ106" s="4"/>
      <c r="AK106" s="4"/>
      <c r="AL106" s="1"/>
      <c r="AM106" s="1"/>
      <c r="AN106" s="1"/>
      <c r="AO106" s="1"/>
      <c r="AP106" s="1"/>
      <c r="AQ106" s="1"/>
      <c r="AR106" s="1"/>
      <c r="AS106" s="1"/>
      <c r="AT106" s="1"/>
      <c r="AU106" s="1"/>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c r="CW106" s="5"/>
      <c r="CX106" s="5"/>
      <c r="CY106" s="5"/>
      <c r="CZ106" s="5"/>
      <c r="DA106" s="5"/>
      <c r="DB106" s="5"/>
      <c r="DC106" s="5"/>
      <c r="DD106" s="5"/>
      <c r="DE106" s="5"/>
      <c r="DF106" s="5"/>
      <c r="DG106" s="5"/>
      <c r="DH106" s="5"/>
      <c r="DI106" s="5"/>
    </row>
    <row r="107" spans="1:113" ht="15.75" thickBot="1" x14ac:dyDescent="0.3">
      <c r="A107" s="22">
        <v>2050</v>
      </c>
      <c r="B107" s="27">
        <f>B106/(1+Parameters!$C$4)</f>
        <v>1.533210968378315E-2</v>
      </c>
      <c r="C107" s="28">
        <f t="shared" si="117"/>
        <v>53.79948062534357</v>
      </c>
      <c r="D107" s="70">
        <f>Parameters!$C$19+(Parameters!$C$20*R107)</f>
        <v>0.10071533031579594</v>
      </c>
      <c r="E107" s="25">
        <f>($E$9/((1+Parameters!$C$8)^(A107-$A$9)))-Parameters!$C$9*Y107</f>
        <v>6.0359450776429409E-2</v>
      </c>
      <c r="F107" s="24">
        <f>F106*(1+E107)</f>
        <v>6.4128161579762928</v>
      </c>
      <c r="G107" s="116">
        <v>1946.6</v>
      </c>
      <c r="H107" s="14">
        <f t="shared" ref="H107:K107" si="121">H17</f>
        <v>90965.710287184847</v>
      </c>
      <c r="I107" s="14">
        <f t="shared" si="121"/>
        <v>148539.01722352521</v>
      </c>
      <c r="J107" s="14">
        <f t="shared" si="121"/>
        <v>6133.3047331966181</v>
      </c>
      <c r="K107" s="14">
        <f t="shared" si="121"/>
        <v>39641.889162162595</v>
      </c>
      <c r="L107" s="131">
        <f t="shared" si="115"/>
        <v>27.419858244776766</v>
      </c>
      <c r="M107" s="131">
        <f t="shared" si="116"/>
        <v>35.773457776647817</v>
      </c>
      <c r="N107" s="137">
        <f>Parameters!P62</f>
        <v>239504727.51071006</v>
      </c>
      <c r="O107" s="140">
        <f>(((L107*Parameters!L62)+(M107*Parameters!M62))*Parameters!$C$24)/1000000</f>
        <v>7.3559367179164328</v>
      </c>
      <c r="P107" s="138">
        <f>(H107+I107)/Parameters!B47</f>
        <v>0.7153303157959251</v>
      </c>
      <c r="Q107" s="39">
        <f>Parameters!O62/Parameters!B62</f>
        <v>0.11839868627164686</v>
      </c>
      <c r="R107" s="113">
        <f>(IF(P107-BAU!N109 &lt; 0, 0, P107-BAU!N109))+(IF(BAU!O109-Q107 &lt; 0,  0, BAU!O109-Q107))</f>
        <v>0.7153303157959251</v>
      </c>
      <c r="S107" s="39">
        <f t="shared" si="106"/>
        <v>0.7153303157959251</v>
      </c>
      <c r="T107" s="32">
        <f t="shared" si="107"/>
        <v>3.4267451052554271E-2</v>
      </c>
      <c r="U107" s="75">
        <f>T107*(S107^Parameters!$C$31)</f>
        <v>1.3412210706732911E-2</v>
      </c>
      <c r="V107" s="21">
        <f>Q107</f>
        <v>0.11839868627164686</v>
      </c>
      <c r="W107" s="21">
        <f t="shared" si="101"/>
        <v>65.609212074151912</v>
      </c>
      <c r="X107" s="20">
        <f>X106+(W107/Parameters!$C$12)</f>
        <v>1015.961917745983</v>
      </c>
      <c r="Y107" s="23">
        <f>X107*Parameters!$C$13</f>
        <v>1.8287314519427693</v>
      </c>
      <c r="Z107" s="32">
        <f t="shared" si="109"/>
        <v>0.99207438727490804</v>
      </c>
      <c r="AA107" s="28">
        <f>((Parameters!$C$18*F107*Z107)/(D107+B107))^(1/(1-Parameters!$C$21))</f>
        <v>23.097475484375373</v>
      </c>
      <c r="AB107" s="24">
        <f>(1-U107)*Z107*F107*(AA107^Parameters!$C$21)</f>
        <v>22.037106432795824</v>
      </c>
      <c r="AC107" s="23">
        <f>(1-Parameters!$C$18)*AB107</f>
        <v>19.392653660860326</v>
      </c>
      <c r="AD107" s="30">
        <f t="shared" si="110"/>
        <v>2.9648943170776967</v>
      </c>
      <c r="AE107" s="23">
        <f>1/(1+Parameters!$C$22*(A107-$A$9))</f>
        <v>0.625</v>
      </c>
      <c r="AF107" s="30">
        <f t="shared" si="102"/>
        <v>99.69360897988301</v>
      </c>
      <c r="AG107" s="30">
        <f>BAU!AF15</f>
        <v>23.187993404994479</v>
      </c>
      <c r="AH107" s="30">
        <f t="shared" si="103"/>
        <v>-61.917121362761897</v>
      </c>
      <c r="AI107" s="4"/>
      <c r="AJ107" s="4"/>
      <c r="AK107" s="4"/>
      <c r="AL107" s="1"/>
      <c r="AM107" s="1"/>
      <c r="AN107" s="1"/>
      <c r="AO107" s="1"/>
      <c r="AP107" s="1"/>
      <c r="AQ107" s="1"/>
      <c r="AR107" s="1"/>
      <c r="AS107" s="1"/>
      <c r="AT107" s="1"/>
      <c r="AU107" s="1"/>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c r="CW107" s="5"/>
      <c r="CX107" s="5"/>
      <c r="CY107" s="5"/>
      <c r="CZ107" s="5"/>
      <c r="DA107" s="5"/>
      <c r="DB107" s="5"/>
      <c r="DC107" s="5"/>
      <c r="DD107" s="5"/>
      <c r="DE107" s="5"/>
      <c r="DF107" s="5"/>
      <c r="DG107" s="5"/>
      <c r="DH107" s="5"/>
      <c r="DI107" s="5"/>
    </row>
    <row r="108" spans="1:113" ht="56.25" x14ac:dyDescent="0.25">
      <c r="A108" s="3"/>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7"/>
      <c r="AD108" s="7"/>
      <c r="AE108" s="33" t="s">
        <v>78</v>
      </c>
      <c r="AF108" s="88">
        <f>SUM(AF99:AF107)</f>
        <v>886.28929397474053</v>
      </c>
      <c r="AG108" s="108"/>
      <c r="AH108" s="76"/>
      <c r="AI108" s="4"/>
      <c r="AJ108" s="4"/>
      <c r="AK108" s="4"/>
      <c r="AL108" s="1"/>
      <c r="AM108" s="1"/>
      <c r="AN108" s="1"/>
      <c r="AO108" s="1"/>
      <c r="AP108" s="1"/>
      <c r="AQ108" s="1"/>
      <c r="AR108" s="1"/>
      <c r="AS108" s="1"/>
      <c r="AT108" s="1"/>
      <c r="AU108" s="1"/>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c r="CW108" s="5"/>
      <c r="CX108" s="5"/>
      <c r="CY108" s="5"/>
      <c r="CZ108" s="5"/>
      <c r="DA108" s="5"/>
      <c r="DB108" s="5"/>
      <c r="DC108" s="5"/>
      <c r="DD108" s="5"/>
      <c r="DE108" s="5"/>
      <c r="DF108" s="5"/>
      <c r="DG108" s="5"/>
      <c r="DH108" s="5"/>
      <c r="DI108" s="5"/>
    </row>
    <row r="109" spans="1:113" x14ac:dyDescent="0.25">
      <c r="A109" s="5"/>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4"/>
      <c r="AF109" s="4"/>
      <c r="AG109" s="4"/>
      <c r="AH109" s="4"/>
      <c r="AI109" s="4"/>
      <c r="AJ109" s="4"/>
      <c r="AK109" s="4"/>
      <c r="AL109" s="1"/>
      <c r="AM109" s="1"/>
      <c r="AN109" s="1"/>
      <c r="AO109" s="1"/>
      <c r="AP109" s="1"/>
      <c r="AQ109" s="1"/>
      <c r="AR109" s="1"/>
      <c r="AS109" s="1"/>
      <c r="AT109" s="1"/>
      <c r="AU109" s="1"/>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c r="CW109" s="5"/>
      <c r="CX109" s="5"/>
      <c r="CY109" s="5"/>
      <c r="CZ109" s="5"/>
      <c r="DA109" s="5"/>
      <c r="DB109" s="5"/>
      <c r="DC109" s="5"/>
      <c r="DD109" s="5"/>
      <c r="DE109" s="5"/>
      <c r="DF109" s="5"/>
      <c r="DG109" s="5"/>
      <c r="DH109" s="5"/>
      <c r="DI109" s="5"/>
    </row>
    <row r="110" spans="1:113" x14ac:dyDescent="0.25">
      <c r="A110" s="5"/>
      <c r="B110" s="5"/>
      <c r="C110" s="5"/>
      <c r="D110" s="1"/>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8"/>
      <c r="AF110" s="8"/>
      <c r="AG110" s="4"/>
      <c r="AH110" s="4"/>
      <c r="AI110" s="8"/>
      <c r="AJ110" s="8"/>
      <c r="AK110" s="8"/>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c r="CW110" s="5"/>
      <c r="CX110" s="5"/>
      <c r="CY110" s="5"/>
      <c r="CZ110" s="5"/>
      <c r="DA110" s="5"/>
      <c r="DB110" s="5"/>
      <c r="DC110" s="5"/>
      <c r="DD110" s="5"/>
      <c r="DE110" s="5"/>
      <c r="DF110" s="5"/>
      <c r="DG110" s="5"/>
      <c r="DH110" s="5"/>
      <c r="DI110" s="5"/>
    </row>
    <row r="111" spans="1:113" x14ac:dyDescent="0.25">
      <c r="A111" s="5"/>
      <c r="B111" s="5"/>
      <c r="C111" s="5"/>
      <c r="D111" s="1"/>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8"/>
      <c r="AF111" s="8"/>
      <c r="AG111" s="4"/>
      <c r="AH111" s="4"/>
      <c r="AI111" s="8"/>
      <c r="AJ111" s="8"/>
      <c r="AK111" s="8"/>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c r="CW111" s="5"/>
      <c r="CX111" s="5"/>
      <c r="CY111" s="5"/>
      <c r="CZ111" s="5"/>
      <c r="DA111" s="5"/>
      <c r="DB111" s="5"/>
      <c r="DC111" s="5"/>
      <c r="DD111" s="5"/>
      <c r="DE111" s="5"/>
      <c r="DF111" s="5"/>
      <c r="DG111" s="5"/>
      <c r="DH111" s="5"/>
      <c r="DI111" s="5"/>
    </row>
    <row r="112" spans="1:113" x14ac:dyDescent="0.25">
      <c r="A112" s="5"/>
      <c r="B112" s="5"/>
      <c r="C112" s="5"/>
      <c r="D112" s="1"/>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8"/>
      <c r="AF112" s="8"/>
      <c r="AG112" s="4"/>
      <c r="AH112" s="4"/>
      <c r="AI112" s="8"/>
      <c r="AJ112" s="8"/>
      <c r="AK112" s="8"/>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c r="CW112" s="5"/>
      <c r="CX112" s="5"/>
      <c r="CY112" s="5"/>
      <c r="CZ112" s="5"/>
      <c r="DA112" s="5"/>
      <c r="DB112" s="5"/>
      <c r="DC112" s="5"/>
      <c r="DD112" s="5"/>
      <c r="DE112" s="5"/>
      <c r="DF112" s="5"/>
      <c r="DG112" s="5"/>
      <c r="DH112" s="5"/>
      <c r="DI112" s="5"/>
    </row>
    <row r="113" spans="1:113" x14ac:dyDescent="0.25">
      <c r="A113" s="5"/>
      <c r="B113" s="5"/>
      <c r="C113" s="5"/>
      <c r="D113" s="1"/>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8"/>
      <c r="AF113" s="8"/>
      <c r="AG113" s="4"/>
      <c r="AH113" s="4"/>
      <c r="AI113" s="8"/>
      <c r="AJ113" s="8"/>
      <c r="AK113" s="8"/>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c r="CW113" s="5"/>
      <c r="CX113" s="5"/>
      <c r="CY113" s="5"/>
      <c r="CZ113" s="5"/>
      <c r="DA113" s="5"/>
      <c r="DB113" s="5"/>
      <c r="DC113" s="5"/>
      <c r="DD113" s="5"/>
      <c r="DE113" s="5"/>
      <c r="DF113" s="5"/>
      <c r="DG113" s="5"/>
      <c r="DH113" s="5"/>
      <c r="DI113" s="5"/>
    </row>
    <row r="114" spans="1:113" x14ac:dyDescent="0.25">
      <c r="A114" s="5"/>
      <c r="B114" s="5"/>
      <c r="C114" s="5"/>
      <c r="D114" s="1"/>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8"/>
      <c r="AF114" s="8"/>
      <c r="AG114" s="4"/>
      <c r="AH114" s="4"/>
      <c r="AI114" s="8"/>
      <c r="AJ114" s="8"/>
      <c r="AK114" s="8"/>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c r="CW114" s="5"/>
      <c r="CX114" s="5"/>
      <c r="CY114" s="5"/>
      <c r="CZ114" s="5"/>
      <c r="DA114" s="5"/>
      <c r="DB114" s="5"/>
      <c r="DC114" s="5"/>
      <c r="DD114" s="5"/>
      <c r="DE114" s="5"/>
      <c r="DF114" s="5"/>
      <c r="DG114" s="5"/>
      <c r="DH114" s="5"/>
      <c r="DI114" s="5"/>
    </row>
    <row r="115" spans="1:113" x14ac:dyDescent="0.25">
      <c r="A115" s="5"/>
      <c r="B115" s="5"/>
      <c r="C115" s="5"/>
      <c r="D115" s="1"/>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8"/>
      <c r="AF115" s="8"/>
      <c r="AG115" s="4"/>
      <c r="AH115" s="4"/>
      <c r="AI115" s="8"/>
      <c r="AJ115" s="8"/>
      <c r="AK115" s="8"/>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c r="CW115" s="5"/>
      <c r="CX115" s="5"/>
      <c r="CY115" s="5"/>
      <c r="CZ115" s="5"/>
      <c r="DA115" s="5"/>
      <c r="DB115" s="5"/>
      <c r="DC115" s="5"/>
      <c r="DD115" s="5"/>
      <c r="DE115" s="5"/>
      <c r="DF115" s="5"/>
      <c r="DG115" s="5"/>
      <c r="DH115" s="5"/>
      <c r="DI115" s="5"/>
    </row>
    <row r="116" spans="1:113" x14ac:dyDescent="0.25">
      <c r="A116" s="5"/>
      <c r="B116" s="5"/>
      <c r="C116" s="5"/>
      <c r="D116" s="1"/>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4"/>
      <c r="AH116" s="4"/>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c r="DF116" s="5"/>
      <c r="DG116" s="5"/>
      <c r="DH116" s="5"/>
      <c r="DI116" s="5"/>
    </row>
    <row r="117" spans="1:113" x14ac:dyDescent="0.25">
      <c r="A117" s="5"/>
      <c r="B117" s="5"/>
      <c r="C117" s="5"/>
      <c r="D117" s="1"/>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4"/>
      <c r="AH117" s="4"/>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c r="CW117" s="5"/>
      <c r="CX117" s="5"/>
      <c r="CY117" s="5"/>
      <c r="CZ117" s="5"/>
      <c r="DA117" s="5"/>
      <c r="DB117" s="5"/>
      <c r="DC117" s="5"/>
      <c r="DD117" s="5"/>
      <c r="DE117" s="5"/>
      <c r="DF117" s="5"/>
      <c r="DG117" s="5"/>
      <c r="DH117" s="5"/>
      <c r="DI117" s="5"/>
    </row>
    <row r="118" spans="1:113"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8"/>
      <c r="AH118" s="8"/>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c r="CW118" s="5"/>
      <c r="CX118" s="5"/>
      <c r="CY118" s="5"/>
      <c r="CZ118" s="5"/>
      <c r="DA118" s="5"/>
      <c r="DB118" s="5"/>
      <c r="DC118" s="5"/>
      <c r="DD118" s="5"/>
      <c r="DE118" s="5"/>
      <c r="DF118" s="5"/>
      <c r="DG118" s="5"/>
      <c r="DH118" s="5"/>
      <c r="DI118" s="5"/>
    </row>
    <row r="119" spans="1:113"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8"/>
      <c r="AH119" s="8"/>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c r="CW119" s="5"/>
      <c r="CX119" s="5"/>
      <c r="CY119" s="5"/>
      <c r="CZ119" s="5"/>
      <c r="DA119" s="5"/>
      <c r="DB119" s="5"/>
      <c r="DC119" s="5"/>
      <c r="DD119" s="5"/>
      <c r="DE119" s="5"/>
      <c r="DF119" s="5"/>
      <c r="DG119" s="5"/>
      <c r="DH119" s="5"/>
      <c r="DI119" s="5"/>
    </row>
    <row r="120" spans="1:113"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8"/>
      <c r="AH120" s="8"/>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c r="CW120" s="5"/>
      <c r="CX120" s="5"/>
      <c r="CY120" s="5"/>
      <c r="CZ120" s="5"/>
      <c r="DA120" s="5"/>
      <c r="DB120" s="5"/>
      <c r="DC120" s="5"/>
      <c r="DD120" s="5"/>
      <c r="DE120" s="5"/>
      <c r="DF120" s="5"/>
      <c r="DG120" s="5"/>
      <c r="DH120" s="5"/>
      <c r="DI120" s="5"/>
    </row>
    <row r="121" spans="1:113"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8"/>
      <c r="AH121" s="8"/>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c r="CW121" s="5"/>
      <c r="CX121" s="5"/>
      <c r="CY121" s="5"/>
      <c r="CZ121" s="5"/>
      <c r="DA121" s="5"/>
      <c r="DB121" s="5"/>
      <c r="DC121" s="5"/>
      <c r="DD121" s="5"/>
      <c r="DE121" s="5"/>
      <c r="DF121" s="5"/>
      <c r="DG121" s="5"/>
      <c r="DH121" s="5"/>
      <c r="DI121" s="5"/>
    </row>
    <row r="122" spans="1:113" x14ac:dyDescent="0.25">
      <c r="D122" s="5"/>
      <c r="AG122" s="8"/>
      <c r="AH122" s="8"/>
    </row>
    <row r="123" spans="1:113" x14ac:dyDescent="0.25">
      <c r="D123" s="5"/>
      <c r="AG123" s="8"/>
      <c r="AH123" s="8"/>
    </row>
    <row r="124" spans="1:113" x14ac:dyDescent="0.25">
      <c r="D124" s="5"/>
      <c r="AG124" s="5"/>
      <c r="AH124" s="5"/>
    </row>
    <row r="125" spans="1:113" x14ac:dyDescent="0.25">
      <c r="D125" s="5"/>
      <c r="AG125" s="5"/>
      <c r="AH125" s="5"/>
    </row>
    <row r="126" spans="1:113" x14ac:dyDescent="0.25">
      <c r="D126" s="5"/>
      <c r="AG126" s="5"/>
      <c r="AH126" s="5"/>
    </row>
    <row r="127" spans="1:113" x14ac:dyDescent="0.25">
      <c r="D127" s="5"/>
      <c r="AG127" s="5"/>
      <c r="AH127" s="5"/>
    </row>
    <row r="128" spans="1:113" x14ac:dyDescent="0.25">
      <c r="D128" s="5"/>
      <c r="AG128" s="5"/>
      <c r="AH128" s="5"/>
    </row>
    <row r="129" spans="4:34" x14ac:dyDescent="0.25">
      <c r="D129" s="5"/>
      <c r="AG129" s="5"/>
      <c r="AH129" s="5"/>
    </row>
  </sheetData>
  <mergeCells count="48">
    <mergeCell ref="B94:F95"/>
    <mergeCell ref="H94:U94"/>
    <mergeCell ref="V94:Z95"/>
    <mergeCell ref="AA94:AC95"/>
    <mergeCell ref="AD94:AH95"/>
    <mergeCell ref="H95:K95"/>
    <mergeCell ref="L95:N95"/>
    <mergeCell ref="O95:U95"/>
    <mergeCell ref="B76:F77"/>
    <mergeCell ref="H76:U76"/>
    <mergeCell ref="V76:Z77"/>
    <mergeCell ref="AA76:AC77"/>
    <mergeCell ref="AD76:AH77"/>
    <mergeCell ref="H77:K77"/>
    <mergeCell ref="L77:N77"/>
    <mergeCell ref="O77:U77"/>
    <mergeCell ref="B58:F59"/>
    <mergeCell ref="H58:U58"/>
    <mergeCell ref="V58:Z59"/>
    <mergeCell ref="AA58:AC59"/>
    <mergeCell ref="AD58:AH59"/>
    <mergeCell ref="H59:K59"/>
    <mergeCell ref="L59:N59"/>
    <mergeCell ref="O59:U59"/>
    <mergeCell ref="B40:F41"/>
    <mergeCell ref="H40:U40"/>
    <mergeCell ref="V40:Z41"/>
    <mergeCell ref="AA40:AC41"/>
    <mergeCell ref="AD40:AH41"/>
    <mergeCell ref="H41:K41"/>
    <mergeCell ref="L41:N41"/>
    <mergeCell ref="O41:U41"/>
    <mergeCell ref="B22:F23"/>
    <mergeCell ref="H22:U22"/>
    <mergeCell ref="V22:Z23"/>
    <mergeCell ref="AA22:AC23"/>
    <mergeCell ref="AD22:AH23"/>
    <mergeCell ref="H23:K23"/>
    <mergeCell ref="L23:N23"/>
    <mergeCell ref="O23:U23"/>
    <mergeCell ref="B4:F5"/>
    <mergeCell ref="H4:U4"/>
    <mergeCell ref="V4:Z5"/>
    <mergeCell ref="AA4:AC5"/>
    <mergeCell ref="AD4:AH5"/>
    <mergeCell ref="H5:K5"/>
    <mergeCell ref="L5:N5"/>
    <mergeCell ref="O5:U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Parameters</vt:lpstr>
      <vt:lpstr>BAU</vt:lpstr>
      <vt:lpstr>IEA NZE</vt:lpstr>
      <vt:lpstr>High RES</vt:lpstr>
      <vt:lpstr>Low Nuclear</vt:lpstr>
      <vt:lpstr>Energy Efficiency</vt:lpstr>
      <vt:lpstr>Graphs</vt:lpstr>
      <vt:lpstr>LCOE Sensitivity Analysis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Galiano</dc:creator>
  <cp:lastModifiedBy>GALIANO BASTARRICA Luis (REGIO)</cp:lastModifiedBy>
  <dcterms:created xsi:type="dcterms:W3CDTF">2019-04-09T12:16:32Z</dcterms:created>
  <dcterms:modified xsi:type="dcterms:W3CDTF">2023-04-28T14:50:47Z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2022-11-07T19:22:38Z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ec48c563-8a2a-423a-b2fa-b1a49c6fb0d3</vt:lpwstr>
  </property>
  <property fmtid="{D5CDD505-2E9C-101B-9397-08002B2CF9AE}" pid="8" name="MSIP_Label_6bd9ddd1-4d20-43f6-abfa-fc3c07406f94_ContentBits">
    <vt:lpwstr>0</vt:lpwstr>
  </property>
</Properties>
</file>